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deb78b34fcda226d/00_AcademyOfEMC/04_AcademyKnowhow/"/>
    </mc:Choice>
  </mc:AlternateContent>
  <xr:revisionPtr revIDLastSave="206" documentId="8_{57E7975D-3484-447D-B8AF-FE73D7CF461B}" xr6:coauthVersionLast="47" xr6:coauthVersionMax="47" xr10:uidLastSave="{19845B5F-03A4-434E-B538-A1DA85FF859C}"/>
  <bookViews>
    <workbookView xWindow="-120" yWindow="-120" windowWidth="29040" windowHeight="15840" tabRatio="876" activeTab="10" xr2:uid="{29F37781-52D5-4140-8886-2F2BBB17CA31}"/>
  </bookViews>
  <sheets>
    <sheet name=" dB|Cable" sheetId="4" r:id="rId1"/>
    <sheet name=" dB|Free-Space" sheetId="2" r:id="rId2"/>
    <sheet name="Near|FarField" sheetId="8" r:id="rId3"/>
    <sheet name="Γ⇄RL⇄VSWR" sheetId="7" r:id="rId4"/>
    <sheet name="Wavelength" sheetId="9" r:id="rId5"/>
    <sheet name="e_r" sheetId="11" state="hidden" r:id="rId6"/>
    <sheet name="e_reff" sheetId="10" r:id="rId7"/>
    <sheet name="SkinEffect" sheetId="12" r:id="rId8"/>
    <sheet name="Shielding" sheetId="15" r:id="rId9"/>
    <sheet name="DMRadiation" sheetId="16" r:id="rId10"/>
    <sheet name="CMRadiation" sheetId="17" r:id="rId11"/>
    <sheet name="Radiation" sheetId="3" r:id="rId12"/>
    <sheet name="Metals" sheetId="13" r:id="rId13"/>
    <sheet name="Plastics" sheetId="14" r:id="rId14"/>
  </sheets>
  <externalReferences>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5" l="1"/>
  <c r="A51" i="15"/>
  <c r="C33" i="17"/>
  <c r="C32" i="17"/>
  <c r="C40" i="17"/>
  <c r="C51" i="15" l="1"/>
  <c r="A52" i="15"/>
  <c r="B40" i="17"/>
  <c r="B46" i="17" s="1"/>
  <c r="B41" i="17"/>
  <c r="B47" i="17" s="1"/>
  <c r="B42" i="17"/>
  <c r="B48" i="17" s="1"/>
  <c r="B43" i="17"/>
  <c r="B49" i="17" s="1"/>
  <c r="B39" i="17"/>
  <c r="B45" i="17" s="1"/>
  <c r="C46" i="17"/>
  <c r="C41" i="17"/>
  <c r="C47" i="17" s="1"/>
  <c r="C42" i="17"/>
  <c r="C48" i="17" s="1"/>
  <c r="C43" i="17"/>
  <c r="C49" i="17" s="1"/>
  <c r="C39" i="17"/>
  <c r="C45" i="17" s="1"/>
  <c r="C28" i="17"/>
  <c r="C30" i="17" s="1"/>
  <c r="C10" i="17"/>
  <c r="F32" i="16"/>
  <c r="F38" i="16" s="1"/>
  <c r="F33" i="16"/>
  <c r="F39" i="16" s="1"/>
  <c r="F34" i="16"/>
  <c r="F40" i="16" s="1"/>
  <c r="F35" i="16"/>
  <c r="F41" i="16" s="1"/>
  <c r="F31" i="16"/>
  <c r="F37" i="16" s="1"/>
  <c r="C23" i="16"/>
  <c r="E31" i="16"/>
  <c r="E37" i="16" s="1"/>
  <c r="E32" i="16"/>
  <c r="E38" i="16" s="1"/>
  <c r="C25" i="16"/>
  <c r="C26" i="16" s="1"/>
  <c r="G6" i="16"/>
  <c r="C28" i="16" s="1"/>
  <c r="B21" i="15"/>
  <c r="B50" i="15" s="1"/>
  <c r="E50" i="15" s="1"/>
  <c r="B52" i="15" l="1"/>
  <c r="C52" i="15"/>
  <c r="D50" i="15"/>
  <c r="B51" i="15"/>
  <c r="A53" i="15"/>
  <c r="C31" i="17"/>
  <c r="D39" i="17" s="1"/>
  <c r="C29" i="17"/>
  <c r="C34" i="17" s="1"/>
  <c r="C27" i="16"/>
  <c r="G32" i="16" s="1"/>
  <c r="G38" i="16" s="1"/>
  <c r="E35" i="16"/>
  <c r="E41" i="16" s="1"/>
  <c r="E34" i="16"/>
  <c r="E40" i="16" s="1"/>
  <c r="E33" i="16"/>
  <c r="E39" i="16" s="1"/>
  <c r="A123" i="12"/>
  <c r="A126" i="12" s="1"/>
  <c r="A129" i="12" s="1"/>
  <c r="A132" i="12" s="1"/>
  <c r="A135" i="12" s="1"/>
  <c r="A138" i="12" s="1"/>
  <c r="A141" i="12" s="1"/>
  <c r="B112" i="12"/>
  <c r="D51" i="15" l="1"/>
  <c r="E51" i="15"/>
  <c r="D52" i="15"/>
  <c r="E52" i="15"/>
  <c r="F50" i="15"/>
  <c r="B53" i="15"/>
  <c r="C53" i="15"/>
  <c r="A54" i="15"/>
  <c r="F42" i="17"/>
  <c r="F48" i="17" s="1"/>
  <c r="F39" i="17"/>
  <c r="F45" i="17" s="1"/>
  <c r="F43" i="17"/>
  <c r="F49" i="17" s="1"/>
  <c r="F41" i="17"/>
  <c r="F47" i="17" s="1"/>
  <c r="F40" i="17"/>
  <c r="F46" i="17" s="1"/>
  <c r="D40" i="17"/>
  <c r="E40" i="17" s="1"/>
  <c r="D41" i="17"/>
  <c r="E41" i="17" s="1"/>
  <c r="E39" i="17"/>
  <c r="D42" i="17"/>
  <c r="E42" i="17" s="1"/>
  <c r="D43" i="17"/>
  <c r="E43" i="17" s="1"/>
  <c r="G31" i="16"/>
  <c r="G37" i="16" s="1"/>
  <c r="G33" i="16"/>
  <c r="G39" i="16" s="1"/>
  <c r="G34" i="16"/>
  <c r="G40" i="16" s="1"/>
  <c r="G35" i="16"/>
  <c r="G41" i="16" s="1"/>
  <c r="B111" i="12"/>
  <c r="F51" i="15" l="1"/>
  <c r="D53" i="15"/>
  <c r="E53" i="15"/>
  <c r="B54" i="15"/>
  <c r="C54" i="15"/>
  <c r="F52" i="15"/>
  <c r="A55" i="15"/>
  <c r="E47" i="17"/>
  <c r="E49" i="17"/>
  <c r="E46" i="17"/>
  <c r="E48" i="17"/>
  <c r="E45" i="17"/>
  <c r="D48" i="17"/>
  <c r="D45" i="17"/>
  <c r="D47" i="17"/>
  <c r="D49" i="17"/>
  <c r="D46" i="17"/>
  <c r="A78" i="12"/>
  <c r="J46" i="13"/>
  <c r="H46"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0" i="13"/>
  <c r="H30" i="13"/>
  <c r="J29" i="13"/>
  <c r="H29" i="13"/>
  <c r="J27" i="13"/>
  <c r="H27" i="13"/>
  <c r="J26" i="13"/>
  <c r="H26" i="13"/>
  <c r="J25" i="13"/>
  <c r="H25" i="13"/>
  <c r="J24" i="13"/>
  <c r="H24" i="13"/>
  <c r="J23" i="13"/>
  <c r="H23" i="13"/>
  <c r="J22" i="13"/>
  <c r="H22" i="13"/>
  <c r="J21" i="13"/>
  <c r="H21" i="13"/>
  <c r="J20" i="13"/>
  <c r="H20" i="13"/>
  <c r="J19" i="13"/>
  <c r="H19" i="13"/>
  <c r="J18" i="13"/>
  <c r="H18" i="13"/>
  <c r="J17" i="13"/>
  <c r="H17" i="13"/>
  <c r="J16" i="13"/>
  <c r="H16" i="13"/>
  <c r="J14" i="13"/>
  <c r="H14" i="13"/>
  <c r="J11" i="13"/>
  <c r="H11" i="13"/>
  <c r="J10" i="13"/>
  <c r="H10" i="13"/>
  <c r="J9" i="13"/>
  <c r="H9" i="13"/>
  <c r="J8" i="13"/>
  <c r="H8" i="13"/>
  <c r="J7" i="13"/>
  <c r="H7" i="13"/>
  <c r="J6" i="13"/>
  <c r="H6" i="13"/>
  <c r="J5" i="13"/>
  <c r="H5" i="13"/>
  <c r="J4" i="13"/>
  <c r="H4" i="13"/>
  <c r="J2" i="13"/>
  <c r="H2" i="13"/>
  <c r="F53" i="15" l="1"/>
  <c r="D54" i="15"/>
  <c r="E54" i="15"/>
  <c r="B55" i="15"/>
  <c r="C55" i="15"/>
  <c r="A56" i="15"/>
  <c r="A81" i="12"/>
  <c r="A45" i="12"/>
  <c r="B32" i="12"/>
  <c r="D55" i="15" l="1"/>
  <c r="E55" i="15"/>
  <c r="A57" i="15"/>
  <c r="B56" i="15"/>
  <c r="C56" i="15"/>
  <c r="F54" i="15"/>
  <c r="B115" i="12"/>
  <c r="B131" i="12"/>
  <c r="B139" i="12"/>
  <c r="B116" i="12"/>
  <c r="B124" i="12"/>
  <c r="B140" i="12"/>
  <c r="B134" i="12"/>
  <c r="B119" i="12"/>
  <c r="B122" i="12"/>
  <c r="B117" i="12"/>
  <c r="B125" i="12"/>
  <c r="B133" i="12"/>
  <c r="B118" i="12"/>
  <c r="B142" i="12"/>
  <c r="B127" i="12"/>
  <c r="B143" i="12"/>
  <c r="B130" i="12"/>
  <c r="B120" i="12"/>
  <c r="B128" i="12"/>
  <c r="B136" i="12"/>
  <c r="B144" i="12"/>
  <c r="B121" i="12"/>
  <c r="B137" i="12"/>
  <c r="B114" i="12"/>
  <c r="B141" i="12"/>
  <c r="B135" i="12"/>
  <c r="B132" i="12"/>
  <c r="B123" i="12"/>
  <c r="B138" i="12"/>
  <c r="B129" i="12"/>
  <c r="B126" i="12"/>
  <c r="B98" i="12"/>
  <c r="B74" i="12"/>
  <c r="B92" i="12"/>
  <c r="B77" i="12"/>
  <c r="B71" i="12"/>
  <c r="B97" i="12"/>
  <c r="B91" i="12"/>
  <c r="B99" i="12"/>
  <c r="B85" i="12"/>
  <c r="B72" i="12"/>
  <c r="B86" i="12"/>
  <c r="B95" i="12"/>
  <c r="B79" i="12"/>
  <c r="B76" i="12"/>
  <c r="B94" i="12"/>
  <c r="B70" i="12"/>
  <c r="B88" i="12"/>
  <c r="B73" i="12"/>
  <c r="B80" i="12"/>
  <c r="B82" i="12"/>
  <c r="B89" i="12"/>
  <c r="B83" i="12"/>
  <c r="B81" i="12"/>
  <c r="C44" i="12"/>
  <c r="B75" i="12"/>
  <c r="B69" i="12"/>
  <c r="C52" i="12"/>
  <c r="A84" i="12"/>
  <c r="B84" i="12" s="1"/>
  <c r="B78" i="12"/>
  <c r="D78" i="12" s="1"/>
  <c r="B52" i="12"/>
  <c r="C45" i="12"/>
  <c r="B45" i="12"/>
  <c r="C42" i="12"/>
  <c r="B42" i="12"/>
  <c r="B43" i="12"/>
  <c r="C43" i="12"/>
  <c r="B44" i="12"/>
  <c r="A46" i="12"/>
  <c r="C111" i="10"/>
  <c r="C133" i="10"/>
  <c r="I70" i="10"/>
  <c r="I62" i="10"/>
  <c r="I54" i="10"/>
  <c r="I46" i="10"/>
  <c r="D56" i="15" l="1"/>
  <c r="E56" i="15"/>
  <c r="C57" i="15"/>
  <c r="B57" i="15"/>
  <c r="E57" i="15" s="1"/>
  <c r="A58" i="15"/>
  <c r="F55" i="15"/>
  <c r="D99" i="12"/>
  <c r="E99" i="12" s="1"/>
  <c r="C99" i="12"/>
  <c r="D121" i="12"/>
  <c r="C121" i="12"/>
  <c r="C92" i="12"/>
  <c r="D92" i="12"/>
  <c r="E92" i="12" s="1"/>
  <c r="D81" i="12"/>
  <c r="E81" i="12" s="1"/>
  <c r="C81" i="12"/>
  <c r="D82" i="12"/>
  <c r="E82" i="12" s="1"/>
  <c r="C82" i="12"/>
  <c r="C88" i="12"/>
  <c r="D88" i="12"/>
  <c r="E88" i="12" s="1"/>
  <c r="C117" i="12"/>
  <c r="D117" i="12"/>
  <c r="C124" i="12"/>
  <c r="D124" i="12"/>
  <c r="C115" i="12"/>
  <c r="D115" i="12"/>
  <c r="D74" i="12"/>
  <c r="E74" i="12" s="1"/>
  <c r="C74" i="12"/>
  <c r="D135" i="12"/>
  <c r="C135" i="12"/>
  <c r="D91" i="12"/>
  <c r="E91" i="12" s="1"/>
  <c r="C91" i="12"/>
  <c r="C114" i="12"/>
  <c r="D114" i="12"/>
  <c r="C134" i="12"/>
  <c r="D134" i="12"/>
  <c r="C126" i="12"/>
  <c r="D126" i="12"/>
  <c r="C139" i="12"/>
  <c r="D139" i="12"/>
  <c r="C116" i="12"/>
  <c r="D116" i="12"/>
  <c r="D137" i="12"/>
  <c r="C137" i="12"/>
  <c r="D98" i="12"/>
  <c r="E98" i="12" s="1"/>
  <c r="C98" i="12"/>
  <c r="C141" i="12"/>
  <c r="D141" i="12"/>
  <c r="C123" i="12"/>
  <c r="D123" i="12"/>
  <c r="C133" i="12"/>
  <c r="D133" i="12"/>
  <c r="D119" i="12"/>
  <c r="C119" i="12"/>
  <c r="C131" i="12"/>
  <c r="D131" i="12"/>
  <c r="D138" i="12"/>
  <c r="C138" i="12"/>
  <c r="C97" i="12"/>
  <c r="D97" i="12"/>
  <c r="E97" i="12" s="1"/>
  <c r="D122" i="12"/>
  <c r="C122" i="12"/>
  <c r="D77" i="12"/>
  <c r="E77" i="12" s="1"/>
  <c r="C77" i="12"/>
  <c r="C86" i="12"/>
  <c r="D86" i="12"/>
  <c r="E86" i="12" s="1"/>
  <c r="D84" i="12"/>
  <c r="E84" i="12" s="1"/>
  <c r="C84" i="12"/>
  <c r="D129" i="12"/>
  <c r="C129" i="12"/>
  <c r="C80" i="12"/>
  <c r="D80" i="12"/>
  <c r="E80" i="12" s="1"/>
  <c r="C70" i="12"/>
  <c r="D70" i="12"/>
  <c r="E70" i="12" s="1"/>
  <c r="D143" i="12"/>
  <c r="C143" i="12"/>
  <c r="D130" i="12"/>
  <c r="C130" i="12"/>
  <c r="D127" i="12"/>
  <c r="C127" i="12"/>
  <c r="C144" i="12"/>
  <c r="D144" i="12"/>
  <c r="C79" i="12"/>
  <c r="D79" i="12"/>
  <c r="E79" i="12" s="1"/>
  <c r="C125" i="12"/>
  <c r="D125" i="12"/>
  <c r="C132" i="12"/>
  <c r="D132" i="12"/>
  <c r="C118" i="12"/>
  <c r="D118" i="12"/>
  <c r="C94" i="12"/>
  <c r="D94" i="12"/>
  <c r="E94" i="12" s="1"/>
  <c r="C142" i="12"/>
  <c r="D142" i="12"/>
  <c r="C72" i="12"/>
  <c r="D72" i="12"/>
  <c r="E72" i="12" s="1"/>
  <c r="C120" i="12"/>
  <c r="D120" i="12"/>
  <c r="C136" i="12"/>
  <c r="D136" i="12"/>
  <c r="C73" i="12"/>
  <c r="D73" i="12"/>
  <c r="E73" i="12" s="1"/>
  <c r="C89" i="12"/>
  <c r="D89" i="12"/>
  <c r="E89" i="12" s="1"/>
  <c r="D83" i="12"/>
  <c r="E83" i="12" s="1"/>
  <c r="C83" i="12"/>
  <c r="C140" i="12"/>
  <c r="D140" i="12"/>
  <c r="C76" i="12"/>
  <c r="D76" i="12"/>
  <c r="E76" i="12" s="1"/>
  <c r="C95" i="12"/>
  <c r="D95" i="12"/>
  <c r="E95" i="12" s="1"/>
  <c r="D85" i="12"/>
  <c r="E85" i="12" s="1"/>
  <c r="C85" i="12"/>
  <c r="C71" i="12"/>
  <c r="D71" i="12"/>
  <c r="E71" i="12" s="1"/>
  <c r="D128" i="12"/>
  <c r="C128" i="12"/>
  <c r="D69" i="12"/>
  <c r="E69" i="12" s="1"/>
  <c r="C69" i="12"/>
  <c r="C75" i="12"/>
  <c r="D75" i="12"/>
  <c r="E75" i="12" s="1"/>
  <c r="C78" i="12"/>
  <c r="E78" i="12"/>
  <c r="A87" i="12"/>
  <c r="B87" i="12" s="1"/>
  <c r="B46" i="12"/>
  <c r="C46" i="12"/>
  <c r="A47" i="12"/>
  <c r="C62" i="10"/>
  <c r="C46" i="10"/>
  <c r="C91" i="10"/>
  <c r="C58" i="15" l="1"/>
  <c r="B58" i="15"/>
  <c r="E58" i="15" s="1"/>
  <c r="A59" i="15"/>
  <c r="D57" i="15"/>
  <c r="F56" i="15"/>
  <c r="F71" i="12"/>
  <c r="G71" i="12" s="1"/>
  <c r="H71" i="12" s="1"/>
  <c r="F84" i="12"/>
  <c r="G84" i="12" s="1"/>
  <c r="H84" i="12" s="1"/>
  <c r="F74" i="12"/>
  <c r="G74" i="12" s="1"/>
  <c r="H74" i="12" s="1"/>
  <c r="E143" i="12"/>
  <c r="F143" i="12" s="1"/>
  <c r="G143" i="12" s="1"/>
  <c r="E137" i="12"/>
  <c r="F137" i="12" s="1"/>
  <c r="G137" i="12" s="1"/>
  <c r="E121" i="12"/>
  <c r="F121" i="12" s="1"/>
  <c r="G121" i="12" s="1"/>
  <c r="F72" i="12"/>
  <c r="G72" i="12" s="1"/>
  <c r="H72" i="12" s="1"/>
  <c r="F70" i="12"/>
  <c r="G70" i="12" s="1"/>
  <c r="H70" i="12" s="1"/>
  <c r="F77" i="12"/>
  <c r="G77" i="12" s="1"/>
  <c r="H77" i="12" s="1"/>
  <c r="F91" i="12"/>
  <c r="G91" i="12" s="1"/>
  <c r="H91" i="12" s="1"/>
  <c r="F81" i="12"/>
  <c r="G81" i="12" s="1"/>
  <c r="H81" i="12" s="1"/>
  <c r="F85" i="12"/>
  <c r="G85" i="12" s="1"/>
  <c r="H85" i="12" s="1"/>
  <c r="F83" i="12"/>
  <c r="G83" i="12" s="1"/>
  <c r="H83" i="12" s="1"/>
  <c r="E127" i="12"/>
  <c r="F127" i="12" s="1"/>
  <c r="G127" i="12" s="1"/>
  <c r="E142" i="12"/>
  <c r="F142" i="12" s="1"/>
  <c r="G142" i="12" s="1"/>
  <c r="E125" i="12"/>
  <c r="F125" i="12" s="1"/>
  <c r="G125" i="12" s="1"/>
  <c r="E126" i="12"/>
  <c r="F126" i="12" s="1"/>
  <c r="G126" i="12" s="1"/>
  <c r="E117" i="12"/>
  <c r="F117" i="12" s="1"/>
  <c r="G117" i="12" s="1"/>
  <c r="E138" i="12"/>
  <c r="F138" i="12" s="1"/>
  <c r="G138" i="12" s="1"/>
  <c r="F92" i="12"/>
  <c r="G92" i="12" s="1"/>
  <c r="H92" i="12" s="1"/>
  <c r="F82" i="12"/>
  <c r="G82" i="12" s="1"/>
  <c r="H82" i="12" s="1"/>
  <c r="F99" i="12"/>
  <c r="G99" i="12" s="1"/>
  <c r="H99" i="12" s="1"/>
  <c r="E141" i="12"/>
  <c r="F141" i="12" s="1"/>
  <c r="G141" i="12" s="1"/>
  <c r="E124" i="12"/>
  <c r="F124" i="12" s="1"/>
  <c r="G124" i="12" s="1"/>
  <c r="E128" i="12"/>
  <c r="F128" i="12" s="1"/>
  <c r="G128" i="12" s="1"/>
  <c r="F76" i="12"/>
  <c r="G76" i="12" s="1"/>
  <c r="H76" i="12" s="1"/>
  <c r="F73" i="12"/>
  <c r="G73" i="12" s="1"/>
  <c r="H73" i="12" s="1"/>
  <c r="E130" i="12"/>
  <c r="F130" i="12" s="1"/>
  <c r="G130" i="12" s="1"/>
  <c r="E129" i="12"/>
  <c r="F129" i="12" s="1"/>
  <c r="G129" i="12" s="1"/>
  <c r="E122" i="12"/>
  <c r="F122" i="12" s="1"/>
  <c r="G122" i="12" s="1"/>
  <c r="E119" i="12"/>
  <c r="F119" i="12" s="1"/>
  <c r="G119" i="12" s="1"/>
  <c r="F98" i="12"/>
  <c r="G98" i="12" s="1"/>
  <c r="H98" i="12" s="1"/>
  <c r="E135" i="12"/>
  <c r="F135" i="12" s="1"/>
  <c r="G135" i="12" s="1"/>
  <c r="E132" i="12"/>
  <c r="F132" i="12" s="1"/>
  <c r="G132" i="12" s="1"/>
  <c r="E139" i="12"/>
  <c r="F139" i="12" s="1"/>
  <c r="G139" i="12" s="1"/>
  <c r="F89" i="12"/>
  <c r="G89" i="12" s="1"/>
  <c r="H89" i="12" s="1"/>
  <c r="E140" i="12"/>
  <c r="F140" i="12" s="1"/>
  <c r="G140" i="12" s="1"/>
  <c r="E136" i="12"/>
  <c r="F136" i="12" s="1"/>
  <c r="G136" i="12" s="1"/>
  <c r="F94" i="12"/>
  <c r="G94" i="12" s="1"/>
  <c r="H94" i="12" s="1"/>
  <c r="F79" i="12"/>
  <c r="G79" i="12" s="1"/>
  <c r="H79" i="12" s="1"/>
  <c r="F97" i="12"/>
  <c r="G97" i="12" s="1"/>
  <c r="H97" i="12" s="1"/>
  <c r="E133" i="12"/>
  <c r="F133" i="12" s="1"/>
  <c r="G133" i="12" s="1"/>
  <c r="E134" i="12"/>
  <c r="F134" i="12" s="1"/>
  <c r="G134" i="12" s="1"/>
  <c r="F88" i="12"/>
  <c r="G88" i="12" s="1"/>
  <c r="H88" i="12" s="1"/>
  <c r="C87" i="12"/>
  <c r="D87" i="12"/>
  <c r="E87" i="12" s="1"/>
  <c r="F95" i="12"/>
  <c r="G95" i="12" s="1"/>
  <c r="H95" i="12" s="1"/>
  <c r="F80" i="12"/>
  <c r="G80" i="12" s="1"/>
  <c r="H80" i="12" s="1"/>
  <c r="E131" i="12"/>
  <c r="F131" i="12" s="1"/>
  <c r="G131" i="12" s="1"/>
  <c r="E120" i="12"/>
  <c r="F120" i="12" s="1"/>
  <c r="G120" i="12" s="1"/>
  <c r="E118" i="12"/>
  <c r="F118" i="12" s="1"/>
  <c r="G118" i="12" s="1"/>
  <c r="E144" i="12"/>
  <c r="F144" i="12" s="1"/>
  <c r="G144" i="12" s="1"/>
  <c r="F86" i="12"/>
  <c r="G86" i="12" s="1"/>
  <c r="H86" i="12" s="1"/>
  <c r="E123" i="12"/>
  <c r="F123" i="12" s="1"/>
  <c r="G123" i="12" s="1"/>
  <c r="E116" i="12"/>
  <c r="F116" i="12" s="1"/>
  <c r="G116" i="12" s="1"/>
  <c r="E114" i="12"/>
  <c r="F114" i="12" s="1"/>
  <c r="G114" i="12" s="1"/>
  <c r="E115" i="12"/>
  <c r="F115" i="12" s="1"/>
  <c r="G115" i="12" s="1"/>
  <c r="F69" i="12"/>
  <c r="G69" i="12" s="1"/>
  <c r="H69" i="12" s="1"/>
  <c r="F75" i="12"/>
  <c r="G75" i="12" s="1"/>
  <c r="H75" i="12" s="1"/>
  <c r="F78" i="12"/>
  <c r="A90" i="12"/>
  <c r="B90" i="12" s="1"/>
  <c r="B47" i="12"/>
  <c r="C47" i="12"/>
  <c r="A48" i="12"/>
  <c r="C70" i="10"/>
  <c r="G62" i="10"/>
  <c r="H62" i="10"/>
  <c r="C54" i="10"/>
  <c r="G46" i="10"/>
  <c r="H46" i="10"/>
  <c r="C29" i="10"/>
  <c r="C27" i="8"/>
  <c r="A60" i="15" l="1"/>
  <c r="B59" i="15"/>
  <c r="E59" i="15" s="1"/>
  <c r="C59" i="15"/>
  <c r="F57" i="15"/>
  <c r="D58" i="15"/>
  <c r="G78" i="12"/>
  <c r="H78" i="12" s="1"/>
  <c r="C90" i="12"/>
  <c r="D90" i="12"/>
  <c r="E90" i="12" s="1"/>
  <c r="F87" i="12"/>
  <c r="G87" i="12" s="1"/>
  <c r="H87" i="12" s="1"/>
  <c r="A93" i="12"/>
  <c r="B93" i="12" s="1"/>
  <c r="B48" i="12"/>
  <c r="C48" i="12"/>
  <c r="A49" i="12"/>
  <c r="H47" i="10"/>
  <c r="G47" i="10"/>
  <c r="F47" i="10"/>
  <c r="H54" i="10"/>
  <c r="G54" i="10"/>
  <c r="G63" i="10"/>
  <c r="F63" i="10"/>
  <c r="H63" i="10"/>
  <c r="H70" i="10"/>
  <c r="G70" i="10"/>
  <c r="C13" i="9"/>
  <c r="C11" i="9" s="1"/>
  <c r="F58" i="15" l="1"/>
  <c r="D59" i="15"/>
  <c r="B60" i="15"/>
  <c r="E60" i="15" s="1"/>
  <c r="A61" i="15"/>
  <c r="C60" i="15"/>
  <c r="C93" i="12"/>
  <c r="D93" i="12"/>
  <c r="E93" i="12" s="1"/>
  <c r="F90" i="12"/>
  <c r="G90" i="12" s="1"/>
  <c r="H90" i="12" s="1"/>
  <c r="A96" i="12"/>
  <c r="B96" i="12" s="1"/>
  <c r="B49" i="12"/>
  <c r="C49" i="12"/>
  <c r="A50" i="12"/>
  <c r="I63" i="10"/>
  <c r="H64" i="10"/>
  <c r="F64" i="10"/>
  <c r="G64" i="10"/>
  <c r="H71" i="10"/>
  <c r="G71" i="10"/>
  <c r="F71" i="10"/>
  <c r="F48" i="10"/>
  <c r="I47" i="10"/>
  <c r="H48" i="10"/>
  <c r="G48" i="10"/>
  <c r="H55" i="10"/>
  <c r="F55" i="10"/>
  <c r="G55" i="10"/>
  <c r="C18" i="9"/>
  <c r="C61" i="15" l="1"/>
  <c r="B61" i="15"/>
  <c r="E61" i="15" s="1"/>
  <c r="A62" i="15"/>
  <c r="D60" i="15"/>
  <c r="F59" i="15"/>
  <c r="C96" i="12"/>
  <c r="D96" i="12"/>
  <c r="E96" i="12" s="1"/>
  <c r="F93" i="12"/>
  <c r="G93" i="12" s="1"/>
  <c r="H93" i="12" s="1"/>
  <c r="B50" i="12"/>
  <c r="C50" i="12"/>
  <c r="A51" i="12"/>
  <c r="I48" i="10"/>
  <c r="G49" i="10"/>
  <c r="F49" i="10"/>
  <c r="H49" i="10"/>
  <c r="H72" i="10"/>
  <c r="F72" i="10"/>
  <c r="G72" i="10"/>
  <c r="I71" i="10"/>
  <c r="I55" i="10"/>
  <c r="F56" i="10"/>
  <c r="G56" i="10"/>
  <c r="H56" i="10"/>
  <c r="F65" i="10"/>
  <c r="I64" i="10"/>
  <c r="G65" i="10"/>
  <c r="H65" i="10"/>
  <c r="H28" i="7"/>
  <c r="A63" i="15" l="1"/>
  <c r="C62" i="15"/>
  <c r="B62" i="15"/>
  <c r="E62" i="15" s="1"/>
  <c r="F60" i="15"/>
  <c r="D61" i="15"/>
  <c r="F96" i="12"/>
  <c r="G96" i="12" s="1"/>
  <c r="H96" i="12" s="1"/>
  <c r="B51" i="12"/>
  <c r="C51" i="12"/>
  <c r="G73" i="10"/>
  <c r="I72" i="10"/>
  <c r="F73" i="10"/>
  <c r="H73" i="10"/>
  <c r="F66" i="10"/>
  <c r="I65" i="10"/>
  <c r="G66" i="10"/>
  <c r="H66" i="10"/>
  <c r="F50" i="10"/>
  <c r="I49" i="10"/>
  <c r="G50" i="10"/>
  <c r="H50" i="10"/>
  <c r="H57" i="10"/>
  <c r="G57" i="10"/>
  <c r="F57" i="10"/>
  <c r="I56" i="10"/>
  <c r="C24" i="7"/>
  <c r="F61" i="15" l="1"/>
  <c r="D62" i="15"/>
  <c r="A64" i="15"/>
  <c r="B63" i="15"/>
  <c r="E63" i="15" s="1"/>
  <c r="C63" i="15"/>
  <c r="F58" i="10"/>
  <c r="I57" i="10"/>
  <c r="G58" i="10"/>
  <c r="H58" i="10"/>
  <c r="G67" i="10"/>
  <c r="H67" i="10"/>
  <c r="F67" i="10"/>
  <c r="I66" i="10"/>
  <c r="G74" i="10"/>
  <c r="F74" i="10"/>
  <c r="I73" i="10"/>
  <c r="H74" i="10"/>
  <c r="I50" i="10"/>
  <c r="H51" i="10"/>
  <c r="G51" i="10"/>
  <c r="F51" i="10"/>
  <c r="F27" i="7"/>
  <c r="G27" i="7" s="1"/>
  <c r="I27" i="7"/>
  <c r="E32" i="7"/>
  <c r="J32" i="7" s="1"/>
  <c r="K32" i="7" s="1"/>
  <c r="E31" i="7"/>
  <c r="J31" i="7" s="1"/>
  <c r="K31" i="7" s="1"/>
  <c r="E30" i="7"/>
  <c r="J30" i="7" s="1"/>
  <c r="K30" i="7" s="1"/>
  <c r="E29" i="7"/>
  <c r="J27" i="7"/>
  <c r="K27" i="7" s="1"/>
  <c r="E28" i="7"/>
  <c r="I28" i="7" s="1"/>
  <c r="H27" i="7"/>
  <c r="F28" i="3"/>
  <c r="E29" i="3"/>
  <c r="F62" i="15" l="1"/>
  <c r="D63" i="15"/>
  <c r="B64" i="15"/>
  <c r="E64" i="15" s="1"/>
  <c r="C64" i="15"/>
  <c r="A65" i="15"/>
  <c r="I67" i="10"/>
  <c r="G68" i="10"/>
  <c r="H68" i="10"/>
  <c r="F68" i="10"/>
  <c r="I74" i="10"/>
  <c r="H75" i="10"/>
  <c r="F75" i="10"/>
  <c r="G75" i="10"/>
  <c r="I51" i="10"/>
  <c r="H52" i="10"/>
  <c r="F52" i="10"/>
  <c r="G52" i="10"/>
  <c r="H59" i="10"/>
  <c r="G59" i="10"/>
  <c r="F59" i="10"/>
  <c r="I58" i="10"/>
  <c r="J29" i="7"/>
  <c r="K29" i="7" s="1"/>
  <c r="F29" i="7"/>
  <c r="G29" i="7" s="1"/>
  <c r="I29" i="7"/>
  <c r="F30" i="7"/>
  <c r="G30" i="7" s="1"/>
  <c r="I30" i="7"/>
  <c r="F31" i="7"/>
  <c r="G31" i="7" s="1"/>
  <c r="H31" i="7"/>
  <c r="F32" i="7"/>
  <c r="G32" i="7" s="1"/>
  <c r="H32" i="7"/>
  <c r="J28" i="7"/>
  <c r="K28" i="7" s="1"/>
  <c r="B67" i="8"/>
  <c r="E67" i="8" s="1"/>
  <c r="B68" i="8"/>
  <c r="E68" i="8" s="1"/>
  <c r="B69" i="8"/>
  <c r="E69" i="8" s="1"/>
  <c r="B70" i="8"/>
  <c r="E70" i="8" s="1"/>
  <c r="B71" i="8"/>
  <c r="E71" i="8" s="1"/>
  <c r="B72" i="8"/>
  <c r="E72" i="8" s="1"/>
  <c r="B73" i="8"/>
  <c r="E73" i="8" s="1"/>
  <c r="B66" i="8"/>
  <c r="E66" i="8" s="1"/>
  <c r="G21" i="8"/>
  <c r="F63" i="15" l="1"/>
  <c r="D64" i="15"/>
  <c r="B65" i="15"/>
  <c r="E65" i="15" s="1"/>
  <c r="C65" i="15"/>
  <c r="A66" i="15"/>
  <c r="I75" i="10"/>
  <c r="H76" i="10"/>
  <c r="G76" i="10"/>
  <c r="F76" i="10"/>
  <c r="I59" i="10"/>
  <c r="G60" i="10"/>
  <c r="F60" i="10"/>
  <c r="H60" i="10"/>
  <c r="G69" i="10"/>
  <c r="I68" i="10"/>
  <c r="H69" i="10"/>
  <c r="F69" i="10"/>
  <c r="I69" i="10" s="1"/>
  <c r="F53" i="10"/>
  <c r="I53" i="10" s="1"/>
  <c r="I52" i="10"/>
  <c r="G53" i="10"/>
  <c r="H53" i="10"/>
  <c r="C73" i="8"/>
  <c r="F73" i="8"/>
  <c r="C66" i="15" l="1"/>
  <c r="A67" i="15"/>
  <c r="B66" i="15"/>
  <c r="E66" i="15" s="1"/>
  <c r="D65" i="15"/>
  <c r="F64" i="15"/>
  <c r="I60" i="10"/>
  <c r="H61" i="10"/>
  <c r="F61" i="10"/>
  <c r="I61" i="10" s="1"/>
  <c r="G61" i="10"/>
  <c r="F77" i="10"/>
  <c r="I77" i="10" s="1"/>
  <c r="I76" i="10"/>
  <c r="H77" i="10"/>
  <c r="G77" i="10"/>
  <c r="D73" i="8"/>
  <c r="A68" i="15" l="1"/>
  <c r="B67" i="15"/>
  <c r="E67" i="15" s="1"/>
  <c r="C67" i="15"/>
  <c r="F65" i="15"/>
  <c r="D66" i="15"/>
  <c r="F66" i="15" s="1"/>
  <c r="C79" i="10"/>
  <c r="F66" i="8"/>
  <c r="D66" i="8"/>
  <c r="D67" i="8"/>
  <c r="D68" i="8"/>
  <c r="D69" i="8"/>
  <c r="D70" i="8"/>
  <c r="D71" i="8"/>
  <c r="D72" i="8"/>
  <c r="D67" i="15" l="1"/>
  <c r="C68" i="15"/>
  <c r="A69" i="15"/>
  <c r="B68" i="15"/>
  <c r="E68" i="15" s="1"/>
  <c r="F69" i="8"/>
  <c r="F72" i="8"/>
  <c r="C68" i="8"/>
  <c r="F68" i="8"/>
  <c r="C71" i="8"/>
  <c r="F71" i="8"/>
  <c r="C67" i="8"/>
  <c r="F67" i="8"/>
  <c r="F70" i="8"/>
  <c r="C72" i="8"/>
  <c r="C66" i="8"/>
  <c r="C70" i="8"/>
  <c r="C69" i="8"/>
  <c r="C69" i="15" l="1"/>
  <c r="A70" i="15"/>
  <c r="B69" i="15"/>
  <c r="E69" i="15" s="1"/>
  <c r="D68" i="15"/>
  <c r="F68" i="15" s="1"/>
  <c r="F67" i="15"/>
  <c r="I6" i="3"/>
  <c r="I33" i="4"/>
  <c r="J33" i="4" s="1"/>
  <c r="I32" i="4"/>
  <c r="K32" i="4" s="1"/>
  <c r="K31" i="4"/>
  <c r="J31" i="4"/>
  <c r="F31" i="4"/>
  <c r="H31" i="4" s="1"/>
  <c r="F30" i="4"/>
  <c r="G30" i="4" s="1"/>
  <c r="F29" i="4"/>
  <c r="I29" i="4" s="1"/>
  <c r="J29" i="4" s="1"/>
  <c r="I28" i="4"/>
  <c r="H28" i="4"/>
  <c r="G28" i="4"/>
  <c r="C28" i="4"/>
  <c r="B70" i="15" l="1"/>
  <c r="E70" i="15" s="1"/>
  <c r="C70" i="15"/>
  <c r="A71" i="15"/>
  <c r="D69" i="15"/>
  <c r="F69" i="15" s="1"/>
  <c r="G31" i="4"/>
  <c r="C31" i="4"/>
  <c r="E31" i="4" s="1"/>
  <c r="C30" i="4"/>
  <c r="D30" i="4" s="1"/>
  <c r="E28" i="4"/>
  <c r="D28" i="4"/>
  <c r="F32" i="4"/>
  <c r="C32" i="4" s="1"/>
  <c r="F33" i="4"/>
  <c r="D31" i="4"/>
  <c r="H29" i="4"/>
  <c r="C29" i="4"/>
  <c r="D29" i="4" s="1"/>
  <c r="I30" i="4"/>
  <c r="K30" i="4" s="1"/>
  <c r="J30" i="4"/>
  <c r="K29" i="4"/>
  <c r="E29" i="4"/>
  <c r="E30" i="4"/>
  <c r="J28" i="4"/>
  <c r="K28" i="4"/>
  <c r="C27" i="4"/>
  <c r="F27" i="4" s="1"/>
  <c r="E25" i="4"/>
  <c r="C26" i="4"/>
  <c r="F26" i="4" s="1"/>
  <c r="F25" i="4"/>
  <c r="I25" i="4" s="1"/>
  <c r="B71" i="15" l="1"/>
  <c r="E71" i="15" s="1"/>
  <c r="C71" i="15"/>
  <c r="A72" i="15"/>
  <c r="D70" i="15"/>
  <c r="F70" i="15" s="1"/>
  <c r="H32" i="4"/>
  <c r="D27" i="4"/>
  <c r="G26" i="4"/>
  <c r="I26" i="4"/>
  <c r="J26" i="4" s="1"/>
  <c r="H26" i="4"/>
  <c r="E26" i="4"/>
  <c r="K25" i="4"/>
  <c r="J25" i="4"/>
  <c r="G25" i="4"/>
  <c r="H25" i="4"/>
  <c r="E32" i="4"/>
  <c r="D32" i="4"/>
  <c r="G32" i="4"/>
  <c r="G33" i="4"/>
  <c r="H33" i="4"/>
  <c r="C33" i="4"/>
  <c r="I27" i="4"/>
  <c r="J27" i="4" s="1"/>
  <c r="G27" i="4"/>
  <c r="H27" i="4"/>
  <c r="D25" i="4"/>
  <c r="I13" i="2"/>
  <c r="L40" i="2"/>
  <c r="M40" i="2" s="1"/>
  <c r="L39" i="2"/>
  <c r="N37" i="2"/>
  <c r="L38" i="2"/>
  <c r="O38" i="2" s="1"/>
  <c r="O37" i="2"/>
  <c r="D71" i="15" l="1"/>
  <c r="C72" i="15"/>
  <c r="A73" i="15"/>
  <c r="B72" i="15"/>
  <c r="E72" i="15" s="1"/>
  <c r="K26" i="4"/>
  <c r="D33" i="4"/>
  <c r="E33" i="4"/>
  <c r="K27" i="4"/>
  <c r="N38" i="2"/>
  <c r="M39" i="2"/>
  <c r="N40" i="2"/>
  <c r="G33" i="2"/>
  <c r="I33" i="2" s="1"/>
  <c r="G34" i="2"/>
  <c r="M37" i="2"/>
  <c r="G36" i="2"/>
  <c r="E36" i="2" s="1"/>
  <c r="K34" i="2"/>
  <c r="O39" i="2"/>
  <c r="E34" i="2"/>
  <c r="F34" i="2" s="1"/>
  <c r="H34" i="2"/>
  <c r="I35" i="2"/>
  <c r="H35" i="2" s="1"/>
  <c r="G35" i="2" s="1"/>
  <c r="E33" i="2"/>
  <c r="F33" i="2" s="1"/>
  <c r="K32" i="2"/>
  <c r="F30" i="2"/>
  <c r="J34" i="2"/>
  <c r="D72" i="15" l="1"/>
  <c r="C73" i="15"/>
  <c r="B73" i="15"/>
  <c r="E73" i="15" s="1"/>
  <c r="A74" i="15"/>
  <c r="F71" i="15"/>
  <c r="K35" i="2"/>
  <c r="E35" i="2"/>
  <c r="F35" i="2" s="1"/>
  <c r="H36" i="2"/>
  <c r="I36" i="2"/>
  <c r="J36" i="2" s="1"/>
  <c r="F36" i="2"/>
  <c r="J33" i="2"/>
  <c r="E31" i="2"/>
  <c r="E32" i="2"/>
  <c r="F32" i="2" s="1"/>
  <c r="H32" i="2"/>
  <c r="I32" i="2"/>
  <c r="J32" i="2" s="1"/>
  <c r="G30" i="2"/>
  <c r="I30" i="2" s="1"/>
  <c r="J30" i="2" s="1"/>
  <c r="C29" i="2"/>
  <c r="D28" i="2"/>
  <c r="C25" i="2"/>
  <c r="B74" i="15" l="1"/>
  <c r="E74" i="15" s="1"/>
  <c r="C74" i="15"/>
  <c r="A75" i="15"/>
  <c r="D73" i="15"/>
  <c r="F73" i="15" s="1"/>
  <c r="F72" i="15"/>
  <c r="E39" i="2"/>
  <c r="E38" i="2"/>
  <c r="E37" i="2"/>
  <c r="C37" i="2" s="1"/>
  <c r="D37" i="2" s="1"/>
  <c r="E40" i="2"/>
  <c r="C34" i="2"/>
  <c r="C33" i="2"/>
  <c r="D33" i="2" s="1"/>
  <c r="C36" i="2"/>
  <c r="L36" i="2" s="1"/>
  <c r="N36" i="2" s="1"/>
  <c r="E29" i="2"/>
  <c r="L29" i="2" s="1"/>
  <c r="C35" i="2"/>
  <c r="D35" i="2" s="1"/>
  <c r="C31" i="2"/>
  <c r="D31" i="2" s="1"/>
  <c r="G31" i="2"/>
  <c r="C30" i="2"/>
  <c r="E28" i="2"/>
  <c r="L28" i="2" s="1"/>
  <c r="C32" i="2"/>
  <c r="D32" i="2" s="1"/>
  <c r="K33" i="2"/>
  <c r="H30" i="2"/>
  <c r="C75" i="15" l="1"/>
  <c r="A76" i="15"/>
  <c r="B75" i="15"/>
  <c r="E75" i="15" s="1"/>
  <c r="D74" i="15"/>
  <c r="I31" i="2"/>
  <c r="J31" i="2" s="1"/>
  <c r="K31" i="2"/>
  <c r="L33" i="2"/>
  <c r="M33" i="2" s="1"/>
  <c r="C38" i="2"/>
  <c r="D38" i="2" s="1"/>
  <c r="F38" i="2"/>
  <c r="G38" i="2"/>
  <c r="C39" i="2"/>
  <c r="D39" i="2" s="1"/>
  <c r="G39" i="2"/>
  <c r="F39" i="2"/>
  <c r="L35" i="2"/>
  <c r="O35" i="2" s="1"/>
  <c r="D36" i="2"/>
  <c r="D34" i="2"/>
  <c r="L34" i="2"/>
  <c r="M28" i="2"/>
  <c r="O28" i="2"/>
  <c r="G40" i="2"/>
  <c r="F40" i="2"/>
  <c r="C40" i="2"/>
  <c r="D40" i="2" s="1"/>
  <c r="H31" i="2"/>
  <c r="F37" i="2"/>
  <c r="G37" i="2"/>
  <c r="M36" i="2"/>
  <c r="O36" i="2"/>
  <c r="F28" i="2"/>
  <c r="G28" i="2"/>
  <c r="I28" i="2" s="1"/>
  <c r="J28" i="2" s="1"/>
  <c r="L31" i="2"/>
  <c r="L32" i="2"/>
  <c r="M32" i="2" s="1"/>
  <c r="D30" i="2"/>
  <c r="L30" i="2"/>
  <c r="M30" i="2" s="1"/>
  <c r="N28" i="2"/>
  <c r="K30" i="2"/>
  <c r="G29" i="2"/>
  <c r="F29" i="2"/>
  <c r="M29" i="2"/>
  <c r="N29" i="2"/>
  <c r="O29" i="2"/>
  <c r="F74" i="15" l="1"/>
  <c r="D75" i="15"/>
  <c r="B76" i="15"/>
  <c r="E76" i="15" s="1"/>
  <c r="C76" i="15"/>
  <c r="A77" i="15"/>
  <c r="N33" i="2"/>
  <c r="O33" i="2"/>
  <c r="N35" i="2"/>
  <c r="M35" i="2"/>
  <c r="K39" i="2"/>
  <c r="I39" i="2"/>
  <c r="J39" i="2" s="1"/>
  <c r="H39" i="2"/>
  <c r="I40" i="2"/>
  <c r="J40" i="2" s="1"/>
  <c r="K40" i="2"/>
  <c r="H40" i="2"/>
  <c r="N31" i="2"/>
  <c r="M31" i="2"/>
  <c r="K37" i="2"/>
  <c r="I37" i="2"/>
  <c r="J37" i="2" s="1"/>
  <c r="H37" i="2"/>
  <c r="M34" i="2"/>
  <c r="O34" i="2"/>
  <c r="N34" i="2"/>
  <c r="I38" i="2"/>
  <c r="J38" i="2" s="1"/>
  <c r="K38" i="2"/>
  <c r="H38" i="2"/>
  <c r="K28" i="2"/>
  <c r="O30" i="2"/>
  <c r="H28" i="2"/>
  <c r="O31" i="2"/>
  <c r="N30" i="2"/>
  <c r="O32" i="2"/>
  <c r="N32" i="2"/>
  <c r="H29" i="2"/>
  <c r="I29" i="2"/>
  <c r="J29" i="2" s="1"/>
  <c r="K29" i="2"/>
  <c r="F23" i="9"/>
  <c r="G23" i="9" s="1"/>
  <c r="E24" i="9"/>
  <c r="B77" i="15" l="1"/>
  <c r="E77" i="15" s="1"/>
  <c r="C77" i="15"/>
  <c r="A78" i="15"/>
  <c r="D76" i="15"/>
  <c r="F75" i="15"/>
  <c r="F76" i="15" l="1"/>
  <c r="A79" i="15"/>
  <c r="B78" i="15"/>
  <c r="E78" i="15" s="1"/>
  <c r="C78" i="15"/>
  <c r="D77" i="15"/>
  <c r="F77" i="15" s="1"/>
  <c r="C79" i="15" l="1"/>
  <c r="A80" i="15"/>
  <c r="B79" i="15"/>
  <c r="E79" i="15" s="1"/>
  <c r="D78" i="15"/>
  <c r="F78" i="15" l="1"/>
  <c r="D79" i="15"/>
  <c r="A81" i="15"/>
  <c r="B80" i="15"/>
  <c r="E80" i="15" s="1"/>
  <c r="C80" i="15"/>
  <c r="D80" i="15" l="1"/>
  <c r="A82" i="15"/>
  <c r="C81" i="15"/>
  <c r="B81" i="15"/>
  <c r="E81" i="15" s="1"/>
  <c r="F79" i="15"/>
  <c r="D81" i="15" l="1"/>
  <c r="C82" i="15"/>
  <c r="A83" i="15"/>
  <c r="B82" i="15"/>
  <c r="E82" i="15" s="1"/>
  <c r="F80" i="15"/>
  <c r="F81" i="15" l="1"/>
  <c r="D82" i="15"/>
  <c r="F82" i="15" s="1"/>
  <c r="A84" i="15"/>
  <c r="B83" i="15"/>
  <c r="E83" i="15" s="1"/>
  <c r="C83" i="15"/>
  <c r="D83" i="15" l="1"/>
  <c r="C84" i="15"/>
  <c r="A85" i="15"/>
  <c r="B84" i="15"/>
  <c r="E84" i="15" s="1"/>
  <c r="D84" i="15" l="1"/>
  <c r="A86" i="15"/>
  <c r="B85" i="15"/>
  <c r="E85" i="15" s="1"/>
  <c r="C85" i="15"/>
  <c r="F83" i="15"/>
  <c r="D85" i="15" l="1"/>
  <c r="C86" i="15"/>
  <c r="A87" i="15"/>
  <c r="B86" i="15"/>
  <c r="E86" i="15" s="1"/>
  <c r="F84" i="15"/>
  <c r="D86" i="15" l="1"/>
  <c r="B87" i="15"/>
  <c r="E87" i="15" s="1"/>
  <c r="C87" i="15"/>
  <c r="A88" i="15"/>
  <c r="F85" i="15"/>
  <c r="A89" i="15" l="1"/>
  <c r="B88" i="15"/>
  <c r="E88" i="15" s="1"/>
  <c r="C88" i="15"/>
  <c r="D87" i="15"/>
  <c r="F87" i="15" s="1"/>
  <c r="F86" i="15"/>
  <c r="D88" i="15" l="1"/>
  <c r="F88" i="15" s="1"/>
  <c r="A90" i="15"/>
  <c r="B89" i="15"/>
  <c r="E89" i="15" s="1"/>
  <c r="C89" i="15"/>
  <c r="D89" i="15" l="1"/>
  <c r="F89" i="15" s="1"/>
  <c r="B90" i="15"/>
  <c r="E90" i="15" s="1"/>
  <c r="A91" i="15"/>
  <c r="C90" i="15"/>
  <c r="A92" i="15" l="1"/>
  <c r="B91" i="15"/>
  <c r="E91" i="15" s="1"/>
  <c r="C91" i="15"/>
  <c r="D90" i="15"/>
  <c r="F90" i="15" s="1"/>
  <c r="D91" i="15" l="1"/>
  <c r="B92" i="15"/>
  <c r="E92" i="15" s="1"/>
  <c r="A93" i="15"/>
  <c r="C92" i="15"/>
  <c r="C93" i="15" l="1"/>
  <c r="A94" i="15"/>
  <c r="B93" i="15"/>
  <c r="E93" i="15" s="1"/>
  <c r="D92" i="15"/>
  <c r="F91" i="15"/>
  <c r="F92" i="15" l="1"/>
  <c r="D93" i="15"/>
  <c r="F93" i="15" s="1"/>
  <c r="C94" i="15"/>
  <c r="A95" i="15"/>
  <c r="B94" i="15"/>
  <c r="E94" i="15" s="1"/>
  <c r="D94" i="15" l="1"/>
  <c r="B95" i="15"/>
  <c r="E95" i="15" s="1"/>
  <c r="C95" i="15"/>
  <c r="A96" i="15"/>
  <c r="F94" i="15" l="1"/>
  <c r="A97" i="15"/>
  <c r="C96" i="15"/>
  <c r="B96" i="15"/>
  <c r="E96" i="15" s="1"/>
  <c r="D95" i="15"/>
  <c r="F95" i="15" l="1"/>
  <c r="D96" i="15"/>
  <c r="F96" i="15" s="1"/>
  <c r="A98" i="15"/>
  <c r="B97" i="15"/>
  <c r="E97" i="15" s="1"/>
  <c r="C97" i="15"/>
  <c r="A99" i="15" l="1"/>
  <c r="B98" i="15"/>
  <c r="E98" i="15" s="1"/>
  <c r="C98" i="15"/>
  <c r="D97" i="15"/>
  <c r="F97" i="15" s="1"/>
  <c r="D98" i="15" l="1"/>
  <c r="F98" i="15" s="1"/>
  <c r="A100" i="15"/>
  <c r="B99" i="15"/>
  <c r="E99" i="15" s="1"/>
  <c r="C99" i="15"/>
  <c r="D99" i="15" l="1"/>
  <c r="B100" i="15"/>
  <c r="E100" i="15" s="1"/>
  <c r="A101" i="15"/>
  <c r="C100" i="15"/>
  <c r="A102" i="15" l="1"/>
  <c r="C101" i="15"/>
  <c r="B101" i="15"/>
  <c r="E101" i="15" s="1"/>
  <c r="D100" i="15"/>
  <c r="F99" i="15"/>
  <c r="F100" i="15" l="1"/>
  <c r="D101" i="15"/>
  <c r="F101" i="15" s="1"/>
  <c r="C102" i="15"/>
  <c r="B102" i="15"/>
  <c r="E102" i="15" s="1"/>
  <c r="A103" i="15"/>
  <c r="D102" i="15" l="1"/>
  <c r="F102" i="15" s="1"/>
  <c r="A104" i="15"/>
  <c r="B103" i="15"/>
  <c r="E103" i="15" s="1"/>
  <c r="C103" i="15"/>
  <c r="D103" i="15" l="1"/>
  <c r="A105" i="15"/>
  <c r="B104" i="15"/>
  <c r="E104" i="15" s="1"/>
  <c r="C104" i="15"/>
  <c r="D104" i="15" l="1"/>
  <c r="F104" i="15" s="1"/>
  <c r="A106" i="15"/>
  <c r="B105" i="15"/>
  <c r="E105" i="15" s="1"/>
  <c r="C105" i="15"/>
  <c r="F103" i="15"/>
  <c r="D105" i="15" l="1"/>
  <c r="A107" i="15"/>
  <c r="B106" i="15"/>
  <c r="E106" i="15" s="1"/>
  <c r="C106" i="15"/>
  <c r="F105" i="15" l="1"/>
  <c r="D106" i="15"/>
  <c r="F106" i="15" s="1"/>
  <c r="A108" i="15"/>
  <c r="B107" i="15"/>
  <c r="E107" i="15" s="1"/>
  <c r="C107" i="15"/>
  <c r="D107" i="15" l="1"/>
  <c r="B108" i="15"/>
  <c r="E108" i="15" s="1"/>
  <c r="C108" i="15"/>
  <c r="A109" i="15"/>
  <c r="D108" i="15" l="1"/>
  <c r="A110" i="15"/>
  <c r="B109" i="15"/>
  <c r="E109" i="15" s="1"/>
  <c r="C109" i="15"/>
  <c r="F107" i="15"/>
  <c r="D109" i="15" l="1"/>
  <c r="B110" i="15"/>
  <c r="E110" i="15" s="1"/>
  <c r="A111" i="15"/>
  <c r="C110" i="15"/>
  <c r="F108" i="15"/>
  <c r="F109" i="15" l="1"/>
  <c r="A112" i="15"/>
  <c r="B111" i="15"/>
  <c r="E111" i="15" s="1"/>
  <c r="C111" i="15"/>
  <c r="D110" i="15"/>
  <c r="F110" i="15" s="1"/>
  <c r="D111" i="15" l="1"/>
  <c r="A113" i="15"/>
  <c r="B112" i="15"/>
  <c r="E112" i="15" s="1"/>
  <c r="C112" i="15"/>
  <c r="D112" i="15" l="1"/>
  <c r="A114" i="15"/>
  <c r="B113" i="15"/>
  <c r="E113" i="15" s="1"/>
  <c r="C113" i="15"/>
  <c r="F111" i="15"/>
  <c r="D113" i="15" l="1"/>
  <c r="F113" i="15" s="1"/>
  <c r="A115" i="15"/>
  <c r="B114" i="15"/>
  <c r="E114" i="15" s="1"/>
  <c r="C114" i="15"/>
  <c r="F112" i="15"/>
  <c r="A116" i="15" l="1"/>
  <c r="B115" i="15"/>
  <c r="E115" i="15" s="1"/>
  <c r="C115" i="15"/>
  <c r="D114" i="15"/>
  <c r="F114" i="15" s="1"/>
  <c r="D115" i="15" l="1"/>
  <c r="A117" i="15"/>
  <c r="B116" i="15"/>
  <c r="E116" i="15" s="1"/>
  <c r="C116" i="15"/>
  <c r="D116" i="15" l="1"/>
  <c r="C117" i="15"/>
  <c r="B117" i="15"/>
  <c r="E117" i="15" s="1"/>
  <c r="A118" i="15"/>
  <c r="F115" i="15"/>
  <c r="C118" i="15" l="1"/>
  <c r="B118" i="15"/>
  <c r="E118" i="15" s="1"/>
  <c r="A119" i="15"/>
  <c r="D117" i="15"/>
  <c r="F117" i="15" s="1"/>
  <c r="F116" i="15"/>
  <c r="A120" i="15" l="1"/>
  <c r="B119" i="15"/>
  <c r="E119" i="15" s="1"/>
  <c r="C119" i="15"/>
  <c r="D118" i="15"/>
  <c r="F118" i="15" s="1"/>
  <c r="D119" i="15" l="1"/>
  <c r="C120" i="15"/>
  <c r="B120" i="15"/>
  <c r="E120" i="15" s="1"/>
  <c r="A121" i="15"/>
  <c r="D120" i="15" l="1"/>
  <c r="A122" i="15"/>
  <c r="C121" i="15"/>
  <c r="B121" i="15"/>
  <c r="E121" i="15" s="1"/>
  <c r="F119" i="15"/>
  <c r="D121" i="15" l="1"/>
  <c r="F121" i="15" s="1"/>
  <c r="C122" i="15"/>
  <c r="A123" i="15"/>
  <c r="B122" i="15"/>
  <c r="E122" i="15" s="1"/>
  <c r="F120" i="15"/>
  <c r="A124" i="15" l="1"/>
  <c r="B123" i="15"/>
  <c r="E123" i="15" s="1"/>
  <c r="C123" i="15"/>
  <c r="D122" i="15"/>
  <c r="F122" i="15" l="1"/>
  <c r="D123" i="15"/>
  <c r="F123" i="15" s="1"/>
  <c r="C124" i="15"/>
  <c r="B124" i="15"/>
  <c r="E124" i="15" s="1"/>
  <c r="A125" i="15"/>
  <c r="A126" i="15" s="1"/>
  <c r="B126" i="15" l="1"/>
  <c r="E126" i="15" s="1"/>
  <c r="A127" i="15"/>
  <c r="C126" i="15"/>
  <c r="D124" i="15"/>
  <c r="F124" i="15" s="1"/>
  <c r="B125" i="15"/>
  <c r="E125" i="15" s="1"/>
  <c r="C125" i="15"/>
  <c r="C127" i="15" l="1"/>
  <c r="B127" i="15"/>
  <c r="E127" i="15" s="1"/>
  <c r="A128" i="15"/>
  <c r="D126" i="15"/>
  <c r="D125" i="15"/>
  <c r="F126" i="15" l="1"/>
  <c r="D127" i="15"/>
  <c r="F127" i="15" s="1"/>
  <c r="A129" i="15"/>
  <c r="B128" i="15"/>
  <c r="E128" i="15" s="1"/>
  <c r="C128" i="15"/>
  <c r="F125" i="15"/>
  <c r="D128" i="15" l="1"/>
  <c r="A130" i="15"/>
  <c r="B129" i="15"/>
  <c r="E129" i="15" s="1"/>
  <c r="C129" i="15"/>
  <c r="D129" i="15" l="1"/>
  <c r="F129" i="15" s="1"/>
  <c r="B130" i="15"/>
  <c r="E130" i="15" s="1"/>
  <c r="C130" i="15"/>
  <c r="A131" i="15"/>
  <c r="F128" i="15"/>
  <c r="D130" i="15" l="1"/>
  <c r="C131" i="15"/>
  <c r="A132" i="15"/>
  <c r="B131" i="15"/>
  <c r="E131" i="15" s="1"/>
  <c r="F130" i="15" l="1"/>
  <c r="A133" i="15"/>
  <c r="B132" i="15"/>
  <c r="E132" i="15" s="1"/>
  <c r="C132" i="15"/>
  <c r="D131" i="15"/>
  <c r="A134" i="15" l="1"/>
  <c r="B133" i="15"/>
  <c r="E133" i="15" s="1"/>
  <c r="C133" i="15"/>
  <c r="F131" i="15"/>
  <c r="D132" i="15"/>
  <c r="F132" i="15" l="1"/>
  <c r="D133" i="15"/>
  <c r="F133" i="15" s="1"/>
  <c r="C134" i="15"/>
  <c r="A135" i="15"/>
  <c r="B134" i="15"/>
  <c r="E134" i="15" s="1"/>
  <c r="D134" i="15" l="1"/>
  <c r="A136" i="15"/>
  <c r="B135" i="15"/>
  <c r="E135" i="15" s="1"/>
  <c r="C135" i="15"/>
  <c r="F134" i="15" l="1"/>
  <c r="D135" i="15"/>
  <c r="F135" i="15" s="1"/>
  <c r="B136" i="15"/>
  <c r="E136" i="15" s="1"/>
  <c r="C136" i="15"/>
  <c r="A137" i="15"/>
  <c r="A138" i="15" l="1"/>
  <c r="B137" i="15"/>
  <c r="E137" i="15" s="1"/>
  <c r="C137" i="15"/>
  <c r="D136" i="15"/>
  <c r="D137" i="15" l="1"/>
  <c r="F137" i="15" s="1"/>
  <c r="F136" i="15"/>
  <c r="C138" i="15"/>
  <c r="A139" i="15"/>
  <c r="B138" i="15"/>
  <c r="E138" i="15" s="1"/>
  <c r="D138" i="15" l="1"/>
  <c r="C139" i="15"/>
  <c r="B139" i="15"/>
  <c r="E139" i="15" s="1"/>
  <c r="A140" i="15"/>
  <c r="A141" i="15" l="1"/>
  <c r="B140" i="15"/>
  <c r="E140" i="15" s="1"/>
  <c r="C140" i="15"/>
  <c r="D139" i="15"/>
  <c r="F139" i="15" s="1"/>
  <c r="F138" i="15"/>
  <c r="A142" i="15" l="1"/>
  <c r="C141" i="15"/>
  <c r="B141" i="15"/>
  <c r="E141" i="15" s="1"/>
  <c r="D140" i="15"/>
  <c r="F140" i="15" l="1"/>
  <c r="D141" i="15"/>
  <c r="C142" i="15"/>
  <c r="B142" i="15"/>
  <c r="E142" i="15" s="1"/>
  <c r="A143" i="15"/>
  <c r="D142" i="15" l="1"/>
  <c r="F141" i="15"/>
  <c r="C143" i="15"/>
  <c r="A144" i="15"/>
  <c r="B143" i="15"/>
  <c r="E143" i="15" s="1"/>
  <c r="A145" i="15" l="1"/>
  <c r="B144" i="15"/>
  <c r="E144" i="15" s="1"/>
  <c r="C144" i="15"/>
  <c r="D143" i="15"/>
  <c r="F143" i="15" s="1"/>
  <c r="F142" i="15"/>
  <c r="D144" i="15" l="1"/>
  <c r="A146" i="15"/>
  <c r="B145" i="15"/>
  <c r="E145" i="15" s="1"/>
  <c r="C145" i="15"/>
  <c r="D145" i="15" l="1"/>
  <c r="B146" i="15"/>
  <c r="E146" i="15" s="1"/>
  <c r="A147" i="15"/>
  <c r="C146" i="15"/>
  <c r="F144" i="15"/>
  <c r="A148" i="15" l="1"/>
  <c r="B147" i="15"/>
  <c r="E147" i="15" s="1"/>
  <c r="C147" i="15"/>
  <c r="D146" i="15"/>
  <c r="F145" i="15"/>
  <c r="F146" i="15" l="1"/>
  <c r="D147" i="15"/>
  <c r="F147" i="15" s="1"/>
  <c r="A149" i="15"/>
  <c r="B148" i="15"/>
  <c r="E148" i="15" s="1"/>
  <c r="C148" i="15"/>
  <c r="D148" i="15" l="1"/>
  <c r="A150" i="15"/>
  <c r="B149" i="15"/>
  <c r="E149" i="15" s="1"/>
  <c r="C149" i="15"/>
  <c r="B150" i="15" l="1"/>
  <c r="E150" i="15" s="1"/>
  <c r="A151" i="15"/>
  <c r="C150" i="15"/>
  <c r="D149" i="15"/>
  <c r="F149" i="15" s="1"/>
  <c r="F148" i="15"/>
  <c r="D150" i="15" l="1"/>
  <c r="F150" i="15" s="1"/>
  <c r="A152" i="15"/>
  <c r="B151" i="15"/>
  <c r="E151" i="15" s="1"/>
  <c r="C151" i="15"/>
  <c r="D151" i="15" l="1"/>
  <c r="F151" i="15" s="1"/>
  <c r="A153" i="15"/>
  <c r="B152" i="15"/>
  <c r="E152" i="15" s="1"/>
  <c r="C152" i="15"/>
  <c r="D152" i="15" l="1"/>
  <c r="A154" i="15"/>
  <c r="B153" i="15"/>
  <c r="E153" i="15" s="1"/>
  <c r="C153" i="15"/>
  <c r="D153" i="15" l="1"/>
  <c r="F153" i="15" s="1"/>
  <c r="C154" i="15"/>
  <c r="A155" i="15"/>
  <c r="B154" i="15"/>
  <c r="E154" i="15" s="1"/>
  <c r="F152" i="15"/>
  <c r="D154" i="15" l="1"/>
  <c r="C155" i="15"/>
  <c r="A156" i="15"/>
  <c r="B155" i="15"/>
  <c r="E155" i="15" s="1"/>
  <c r="D155" i="15" l="1"/>
  <c r="F155" i="15" s="1"/>
  <c r="A157" i="15"/>
  <c r="B156" i="15"/>
  <c r="E156" i="15" s="1"/>
  <c r="C156" i="15"/>
  <c r="F154" i="15"/>
  <c r="D156" i="15" l="1"/>
  <c r="A158" i="15"/>
  <c r="C157" i="15"/>
  <c r="B157" i="15"/>
  <c r="E157" i="15" s="1"/>
  <c r="D157" i="15" l="1"/>
  <c r="B158" i="15"/>
  <c r="E158" i="15" s="1"/>
  <c r="C158" i="15"/>
  <c r="A159" i="15"/>
  <c r="F156" i="15"/>
  <c r="C159" i="15" l="1"/>
  <c r="B159" i="15"/>
  <c r="E159" i="15" s="1"/>
  <c r="A160" i="15"/>
  <c r="D158" i="15"/>
  <c r="F157" i="15"/>
  <c r="F158" i="15" l="1"/>
  <c r="A161" i="15"/>
  <c r="C160" i="15"/>
  <c r="B160" i="15"/>
  <c r="E160" i="15" s="1"/>
  <c r="D159" i="15"/>
  <c r="F159" i="15" s="1"/>
  <c r="D160" i="15" l="1"/>
  <c r="A162" i="15"/>
  <c r="B161" i="15"/>
  <c r="E161" i="15" s="1"/>
  <c r="C161" i="15"/>
  <c r="D161" i="15" l="1"/>
  <c r="C162" i="15"/>
  <c r="A163" i="15"/>
  <c r="B162" i="15"/>
  <c r="E162" i="15" s="1"/>
  <c r="F160" i="15"/>
  <c r="D162" i="15" l="1"/>
  <c r="A164" i="15"/>
  <c r="B163" i="15"/>
  <c r="E163" i="15" s="1"/>
  <c r="C163" i="15"/>
  <c r="F161" i="15"/>
  <c r="F162" i="15" l="1"/>
  <c r="D163" i="15"/>
  <c r="F163" i="15" s="1"/>
  <c r="A165" i="15"/>
  <c r="C164" i="15"/>
  <c r="B164" i="15"/>
  <c r="E164" i="15" s="1"/>
  <c r="D164" i="15" l="1"/>
  <c r="A166" i="15"/>
  <c r="B165" i="15"/>
  <c r="E165" i="15" s="1"/>
  <c r="C165" i="15"/>
  <c r="D165" i="15" l="1"/>
  <c r="A167" i="15"/>
  <c r="B166" i="15"/>
  <c r="E166" i="15" s="1"/>
  <c r="C166" i="15"/>
  <c r="F164" i="15"/>
  <c r="F165" i="15" l="1"/>
  <c r="D166" i="15"/>
  <c r="C167" i="15"/>
  <c r="A168" i="15"/>
  <c r="B167" i="15"/>
  <c r="E167" i="15" s="1"/>
  <c r="D167" i="15" l="1"/>
  <c r="A169" i="15"/>
  <c r="B168" i="15"/>
  <c r="E168" i="15" s="1"/>
  <c r="C168" i="15"/>
  <c r="F166" i="15"/>
  <c r="A170" i="15" l="1"/>
  <c r="B169" i="15"/>
  <c r="E169" i="15" s="1"/>
  <c r="C169" i="15"/>
  <c r="D168" i="15"/>
  <c r="F167" i="15"/>
  <c r="F168" i="15" l="1"/>
  <c r="D169" i="15"/>
  <c r="B170" i="15"/>
  <c r="E170" i="15" s="1"/>
  <c r="C170" i="15"/>
  <c r="A171" i="15"/>
  <c r="C171" i="15" l="1"/>
  <c r="A172" i="15"/>
  <c r="B171" i="15"/>
  <c r="E171" i="15" s="1"/>
  <c r="D170" i="15"/>
  <c r="F170" i="15" s="1"/>
  <c r="F169" i="15"/>
  <c r="D171" i="15" l="1"/>
  <c r="F171" i="15" s="1"/>
  <c r="A173" i="15"/>
  <c r="B172" i="15"/>
  <c r="E172" i="15" s="1"/>
  <c r="C172" i="15"/>
  <c r="B173" i="15" l="1"/>
  <c r="E173" i="15" s="1"/>
  <c r="C173" i="15"/>
  <c r="A174" i="15"/>
  <c r="D172" i="15"/>
  <c r="B174" i="15" l="1"/>
  <c r="E174" i="15" s="1"/>
  <c r="C174" i="15"/>
  <c r="A175" i="15"/>
  <c r="F172" i="15"/>
  <c r="D173" i="15"/>
  <c r="C175" i="15" l="1"/>
  <c r="A176" i="15"/>
  <c r="B175" i="15"/>
  <c r="E175" i="15" s="1"/>
  <c r="F173" i="15"/>
  <c r="D174" i="15"/>
  <c r="D175" i="15" l="1"/>
  <c r="F175" i="15" s="1"/>
  <c r="A177" i="15"/>
  <c r="B176" i="15"/>
  <c r="E176" i="15" s="1"/>
  <c r="C176" i="15"/>
  <c r="F174" i="15"/>
  <c r="D176" i="15" l="1"/>
  <c r="A178" i="15"/>
  <c r="C177" i="15"/>
  <c r="B177" i="15"/>
  <c r="E177" i="15" s="1"/>
  <c r="D177" i="15" l="1"/>
  <c r="F177" i="15" s="1"/>
  <c r="C178" i="15"/>
  <c r="B178" i="15"/>
  <c r="E178" i="15" s="1"/>
  <c r="A179" i="15"/>
  <c r="F176" i="15"/>
  <c r="A180" i="15" l="1"/>
  <c r="C179" i="15"/>
  <c r="B179" i="15"/>
  <c r="E179" i="15" s="1"/>
  <c r="D178" i="15"/>
  <c r="D179" i="15" l="1"/>
  <c r="F179" i="15" s="1"/>
  <c r="F178" i="15"/>
  <c r="A181" i="15"/>
  <c r="B180" i="15"/>
  <c r="E180" i="15" s="1"/>
  <c r="C180" i="15"/>
  <c r="D180" i="15" l="1"/>
  <c r="A182" i="15"/>
  <c r="C181" i="15"/>
  <c r="B181" i="15"/>
  <c r="E181" i="15" s="1"/>
  <c r="B182" i="15" l="1"/>
  <c r="E182" i="15" s="1"/>
  <c r="C182" i="15"/>
  <c r="A183" i="15"/>
  <c r="D181" i="15"/>
  <c r="F180" i="15"/>
  <c r="F181" i="15" l="1"/>
  <c r="C183" i="15"/>
  <c r="A184" i="15"/>
  <c r="B183" i="15"/>
  <c r="E183" i="15" s="1"/>
  <c r="D182" i="15"/>
  <c r="A185" i="15" l="1"/>
  <c r="B184" i="15"/>
  <c r="E184" i="15" s="1"/>
  <c r="C184" i="15"/>
  <c r="D183" i="15"/>
  <c r="F183" i="15" s="1"/>
  <c r="F182" i="15"/>
  <c r="D184" i="15" l="1"/>
  <c r="F184" i="15" s="1"/>
  <c r="A186" i="15"/>
  <c r="B185" i="15"/>
  <c r="E185" i="15" s="1"/>
  <c r="C185" i="15"/>
  <c r="D185" i="15" l="1"/>
  <c r="B186" i="15"/>
  <c r="E186" i="15" s="1"/>
  <c r="C186" i="15"/>
  <c r="A187" i="15"/>
  <c r="A188" i="15" l="1"/>
  <c r="B187" i="15"/>
  <c r="E187" i="15" s="1"/>
  <c r="C187" i="15"/>
  <c r="D186" i="15"/>
  <c r="F185" i="15"/>
  <c r="D187" i="15" l="1"/>
  <c r="F187" i="15" s="1"/>
  <c r="F186" i="15"/>
  <c r="A189" i="15"/>
  <c r="B188" i="15"/>
  <c r="E188" i="15" s="1"/>
  <c r="C188" i="15"/>
  <c r="D188" i="15" l="1"/>
  <c r="F188" i="15" s="1"/>
  <c r="A190" i="15"/>
  <c r="B189" i="15"/>
  <c r="E189" i="15" s="1"/>
  <c r="C189" i="15"/>
  <c r="D189" i="15" l="1"/>
  <c r="B190" i="15"/>
  <c r="E190" i="15" s="1"/>
  <c r="C190" i="15"/>
  <c r="A191" i="15"/>
  <c r="C191" i="15" l="1"/>
  <c r="A192" i="15"/>
  <c r="B191" i="15"/>
  <c r="E191" i="15" s="1"/>
  <c r="D190" i="15"/>
  <c r="F190" i="15" s="1"/>
  <c r="F189" i="15"/>
  <c r="B192" i="15" l="1"/>
  <c r="E192" i="15" s="1"/>
  <c r="C192" i="15"/>
  <c r="A193" i="15"/>
  <c r="D191" i="15"/>
  <c r="F191" i="15" s="1"/>
  <c r="A194" i="15" l="1"/>
  <c r="B193" i="15"/>
  <c r="E193" i="15" s="1"/>
  <c r="C193" i="15"/>
  <c r="D192" i="15"/>
  <c r="F192" i="15" s="1"/>
  <c r="D193" i="15" l="1"/>
  <c r="B194" i="15"/>
  <c r="E194" i="15" s="1"/>
  <c r="C194" i="15"/>
  <c r="A195" i="15"/>
  <c r="C195" i="15" l="1"/>
  <c r="B195" i="15"/>
  <c r="E195" i="15" s="1"/>
  <c r="A196" i="15"/>
  <c r="D194" i="15"/>
  <c r="F193" i="15"/>
  <c r="A197" i="15" l="1"/>
  <c r="B196" i="15"/>
  <c r="E196" i="15" s="1"/>
  <c r="C196" i="15"/>
  <c r="D195" i="15"/>
  <c r="F195" i="15" s="1"/>
  <c r="F194" i="15"/>
  <c r="D196" i="15" l="1"/>
  <c r="A198" i="15"/>
  <c r="B197" i="15"/>
  <c r="E197" i="15" s="1"/>
  <c r="C197" i="15"/>
  <c r="F196" i="15" l="1"/>
  <c r="B198" i="15"/>
  <c r="E198" i="15" s="1"/>
  <c r="C198" i="15"/>
  <c r="A199" i="15"/>
  <c r="D197" i="15"/>
  <c r="F197" i="15" l="1"/>
  <c r="A200" i="15"/>
  <c r="B199" i="15"/>
  <c r="E199" i="15" s="1"/>
  <c r="C199" i="15"/>
  <c r="D198" i="15"/>
  <c r="F198" i="15" l="1"/>
  <c r="D199" i="15"/>
  <c r="F199" i="15" s="1"/>
  <c r="A201" i="15"/>
  <c r="B200" i="15"/>
  <c r="E200" i="15" s="1"/>
  <c r="C200" i="15"/>
  <c r="D200" i="15" l="1"/>
  <c r="F200" i="15" s="1"/>
  <c r="A202" i="15"/>
  <c r="B201" i="15"/>
  <c r="E201" i="15" s="1"/>
  <c r="C201" i="15"/>
  <c r="D201" i="15" l="1"/>
  <c r="F201" i="15" s="1"/>
  <c r="B202" i="15"/>
  <c r="E202" i="15" s="1"/>
  <c r="C202" i="15"/>
  <c r="A203" i="15"/>
  <c r="A204" i="15" l="1"/>
  <c r="C203" i="15"/>
  <c r="B203" i="15"/>
  <c r="E203" i="15" s="1"/>
  <c r="D202" i="15"/>
  <c r="F202" i="15" l="1"/>
  <c r="D203" i="15"/>
  <c r="F203" i="15" s="1"/>
  <c r="C204" i="15"/>
  <c r="B204" i="15"/>
  <c r="E204" i="15" s="1"/>
  <c r="A205" i="15"/>
  <c r="A206" i="15" l="1"/>
  <c r="B205" i="15"/>
  <c r="E205" i="15" s="1"/>
  <c r="C205" i="15"/>
  <c r="D204" i="15"/>
  <c r="F204" i="15" s="1"/>
  <c r="D205" i="15" l="1"/>
  <c r="F205" i="15" s="1"/>
  <c r="A207" i="15"/>
  <c r="B206" i="15"/>
  <c r="E206" i="15" s="1"/>
  <c r="C206" i="15"/>
  <c r="D206" i="15" l="1"/>
  <c r="B207" i="15"/>
  <c r="E207" i="15" s="1"/>
  <c r="C207" i="15"/>
  <c r="A208" i="15"/>
  <c r="A209" i="15" l="1"/>
  <c r="B208" i="15"/>
  <c r="E208" i="15" s="1"/>
  <c r="C208" i="15"/>
  <c r="D207" i="15"/>
  <c r="F206" i="15"/>
  <c r="F207" i="15" l="1"/>
  <c r="D208" i="15"/>
  <c r="C209" i="15"/>
  <c r="A210" i="15"/>
  <c r="B209" i="15"/>
  <c r="E209" i="15" s="1"/>
  <c r="D209" i="15" l="1"/>
  <c r="B210" i="15"/>
  <c r="E210" i="15" s="1"/>
  <c r="C210" i="15"/>
  <c r="A211" i="15"/>
  <c r="F208" i="15"/>
  <c r="B211" i="15" l="1"/>
  <c r="E211" i="15" s="1"/>
  <c r="A212" i="15"/>
  <c r="C211" i="15"/>
  <c r="D210" i="15"/>
  <c r="F209" i="15"/>
  <c r="F210" i="15" l="1"/>
  <c r="A213" i="15"/>
  <c r="B212" i="15"/>
  <c r="E212" i="15" s="1"/>
  <c r="C212" i="15"/>
  <c r="D211" i="15"/>
  <c r="F211" i="15" s="1"/>
  <c r="B213" i="15" l="1"/>
  <c r="E213" i="15" s="1"/>
  <c r="C213" i="15"/>
  <c r="A214" i="15"/>
  <c r="D212" i="15"/>
  <c r="D213" i="15" l="1"/>
  <c r="F213" i="15" s="1"/>
  <c r="C214" i="15"/>
  <c r="A215" i="15"/>
  <c r="B214" i="15"/>
  <c r="E214" i="15" s="1"/>
  <c r="F212" i="15"/>
  <c r="D214" i="15" l="1"/>
  <c r="A216" i="15"/>
  <c r="B215" i="15"/>
  <c r="E215" i="15" s="1"/>
  <c r="C215" i="15"/>
  <c r="D215" i="15" l="1"/>
  <c r="B216" i="15"/>
  <c r="E216" i="15" s="1"/>
  <c r="C216" i="15"/>
  <c r="A217" i="15"/>
  <c r="F214" i="15"/>
  <c r="D216" i="15" l="1"/>
  <c r="F216" i="15" s="1"/>
  <c r="A218" i="15"/>
  <c r="B217" i="15"/>
  <c r="E217" i="15" s="1"/>
  <c r="C217" i="15"/>
  <c r="F215" i="15"/>
  <c r="D217" i="15" l="1"/>
  <c r="F217" i="15" s="1"/>
  <c r="B218" i="15"/>
  <c r="E218" i="15" s="1"/>
  <c r="A219" i="15"/>
  <c r="C218" i="15"/>
  <c r="B219" i="15" l="1"/>
  <c r="E219" i="15" s="1"/>
  <c r="C219" i="15"/>
  <c r="A220" i="15"/>
  <c r="D218" i="15"/>
  <c r="B220" i="15" l="1"/>
  <c r="E220" i="15" s="1"/>
  <c r="C220" i="15"/>
  <c r="A221" i="15"/>
  <c r="F218" i="15"/>
  <c r="D219" i="15"/>
  <c r="F219" i="15" s="1"/>
  <c r="A222" i="15" l="1"/>
  <c r="B221" i="15"/>
  <c r="E221" i="15" s="1"/>
  <c r="C221" i="15"/>
  <c r="D220" i="15"/>
  <c r="F220" i="15" s="1"/>
  <c r="D221" i="15" l="1"/>
  <c r="A223" i="15"/>
  <c r="C222" i="15"/>
  <c r="B222" i="15"/>
  <c r="E222" i="15" s="1"/>
  <c r="A224" i="15" l="1"/>
  <c r="B223" i="15"/>
  <c r="E223" i="15" s="1"/>
  <c r="C223" i="15"/>
  <c r="D222" i="15"/>
  <c r="F221" i="15"/>
  <c r="F222" i="15" l="1"/>
  <c r="D223" i="15"/>
  <c r="F223" i="15" s="1"/>
  <c r="C224" i="15"/>
  <c r="A225" i="15"/>
  <c r="B224" i="15"/>
  <c r="E224" i="15" s="1"/>
  <c r="D224" i="15" l="1"/>
  <c r="F224" i="15" s="1"/>
  <c r="B225" i="15"/>
  <c r="E225" i="15" s="1"/>
  <c r="A226" i="15"/>
  <c r="C225" i="15"/>
  <c r="C226" i="15" l="1"/>
  <c r="A227" i="15"/>
  <c r="B226" i="15"/>
  <c r="E226" i="15" s="1"/>
  <c r="D225" i="15"/>
  <c r="D226" i="15" l="1"/>
  <c r="F226" i="15" s="1"/>
  <c r="C227" i="15"/>
  <c r="B227" i="15"/>
  <c r="E227" i="15" s="1"/>
  <c r="A228" i="15"/>
  <c r="F225" i="15"/>
  <c r="C228" i="15" l="1"/>
  <c r="A229" i="15"/>
  <c r="B228" i="15"/>
  <c r="E228" i="15" s="1"/>
  <c r="D227" i="15"/>
  <c r="F227" i="15" s="1"/>
  <c r="B229" i="15" l="1"/>
  <c r="E229" i="15" s="1"/>
  <c r="C229" i="15"/>
  <c r="A230" i="15"/>
  <c r="D228" i="15"/>
  <c r="F228" i="15" s="1"/>
  <c r="A231" i="15" l="1"/>
  <c r="B230" i="15"/>
  <c r="E230" i="15" s="1"/>
  <c r="C230" i="15"/>
  <c r="D229" i="15"/>
  <c r="F229" i="15" l="1"/>
  <c r="D230" i="15"/>
  <c r="F230" i="15" s="1"/>
  <c r="B231" i="15"/>
  <c r="E231" i="15" s="1"/>
  <c r="A232" i="15"/>
  <c r="C231" i="15"/>
  <c r="D231" i="15" l="1"/>
  <c r="F231" i="15" s="1"/>
  <c r="C232" i="15"/>
  <c r="A233" i="15"/>
  <c r="B232" i="15"/>
  <c r="E232" i="15" s="1"/>
  <c r="D232" i="15" l="1"/>
  <c r="F232" i="15" s="1"/>
  <c r="B233" i="15"/>
  <c r="E233" i="15" s="1"/>
  <c r="A234" i="15"/>
  <c r="C233" i="15"/>
  <c r="B234" i="15" l="1"/>
  <c r="E234" i="15" s="1"/>
  <c r="A235" i="15"/>
  <c r="C234" i="15"/>
  <c r="D233" i="15"/>
  <c r="F233" i="15" s="1"/>
  <c r="A236" i="15" l="1"/>
  <c r="B235" i="15"/>
  <c r="E235" i="15" s="1"/>
  <c r="C235" i="15"/>
  <c r="D234" i="15"/>
  <c r="F234" i="15" s="1"/>
  <c r="D235" i="15" l="1"/>
  <c r="B236" i="15"/>
  <c r="E236" i="15" s="1"/>
  <c r="C236" i="15"/>
  <c r="A237" i="15"/>
  <c r="F235" i="15" l="1"/>
  <c r="D236" i="15"/>
  <c r="F236" i="15" s="1"/>
  <c r="B237" i="15"/>
  <c r="E237" i="15" s="1"/>
  <c r="C237" i="15"/>
  <c r="A238" i="15"/>
  <c r="D237" i="15" l="1"/>
  <c r="A239" i="15"/>
  <c r="B238" i="15"/>
  <c r="E238" i="15" s="1"/>
  <c r="C238" i="15"/>
  <c r="F237" i="15" l="1"/>
  <c r="D238" i="15"/>
  <c r="B239" i="15"/>
  <c r="E239" i="15" s="1"/>
  <c r="C239" i="15"/>
  <c r="A240" i="15"/>
  <c r="D239" i="15" l="1"/>
  <c r="B240" i="15"/>
  <c r="E240" i="15" s="1"/>
  <c r="C240" i="15"/>
  <c r="A241" i="15"/>
  <c r="F238" i="15"/>
  <c r="B241" i="15" l="1"/>
  <c r="E241" i="15" s="1"/>
  <c r="C241" i="15"/>
  <c r="A242" i="15"/>
  <c r="D240" i="15"/>
  <c r="F240" i="15" s="1"/>
  <c r="F239" i="15"/>
  <c r="B242" i="15" l="1"/>
  <c r="E242" i="15" s="1"/>
  <c r="A243" i="15"/>
  <c r="C242" i="15"/>
  <c r="D241" i="15"/>
  <c r="F241" i="15" s="1"/>
  <c r="A244" i="15" l="1"/>
  <c r="B243" i="15"/>
  <c r="E243" i="15" s="1"/>
  <c r="C243" i="15"/>
  <c r="D242" i="15"/>
  <c r="F242" i="15" l="1"/>
  <c r="D243" i="15"/>
  <c r="C244" i="15"/>
  <c r="B244" i="15"/>
  <c r="E244" i="15" s="1"/>
  <c r="A245" i="15"/>
  <c r="D244" i="15" l="1"/>
  <c r="A246" i="15"/>
  <c r="C245" i="15"/>
  <c r="B245" i="15"/>
  <c r="E245" i="15" s="1"/>
  <c r="F243" i="15"/>
  <c r="D245" i="15" l="1"/>
  <c r="B246" i="15"/>
  <c r="E246" i="15" s="1"/>
  <c r="C246" i="15"/>
  <c r="A247" i="15"/>
  <c r="F244" i="15"/>
  <c r="D246" i="15" l="1"/>
  <c r="F246" i="15" s="1"/>
  <c r="F245" i="15"/>
  <c r="B247" i="15"/>
  <c r="E247" i="15" s="1"/>
  <c r="C247" i="15"/>
  <c r="A248" i="15"/>
  <c r="B248" i="15" l="1"/>
  <c r="E248" i="15" s="1"/>
  <c r="C248" i="15"/>
  <c r="A249" i="15"/>
  <c r="D247" i="15"/>
  <c r="F247" i="15" s="1"/>
  <c r="B249" i="15" l="1"/>
  <c r="E249" i="15" s="1"/>
  <c r="C249" i="15"/>
  <c r="A250" i="15"/>
  <c r="D248" i="15"/>
  <c r="F248" i="15" s="1"/>
  <c r="C250" i="15" l="1"/>
  <c r="A251" i="15"/>
  <c r="B250" i="15"/>
  <c r="E250" i="15" s="1"/>
  <c r="D249" i="15"/>
  <c r="D250" i="15" l="1"/>
  <c r="F250" i="15" s="1"/>
  <c r="C251" i="15"/>
  <c r="A252" i="15"/>
  <c r="B251" i="15"/>
  <c r="E251" i="15" s="1"/>
  <c r="F249" i="15"/>
  <c r="D251" i="15" l="1"/>
  <c r="F251" i="15" s="1"/>
  <c r="B252" i="15"/>
  <c r="E252" i="15" s="1"/>
  <c r="C252" i="15"/>
  <c r="A253" i="15"/>
  <c r="B253" i="15" l="1"/>
  <c r="E253" i="15" s="1"/>
  <c r="C253" i="15"/>
  <c r="A254" i="15"/>
  <c r="D252" i="15"/>
  <c r="F252" i="15" l="1"/>
  <c r="B254" i="15"/>
  <c r="E254" i="15" s="1"/>
  <c r="A255" i="15"/>
  <c r="C254" i="15"/>
  <c r="D253" i="15"/>
  <c r="F253" i="15" l="1"/>
  <c r="D254" i="15"/>
  <c r="C255" i="15"/>
  <c r="A256" i="15"/>
  <c r="B255" i="15"/>
  <c r="E255" i="15" s="1"/>
  <c r="D255" i="15" l="1"/>
  <c r="F255" i="15" s="1"/>
  <c r="B256" i="15"/>
  <c r="E256" i="15" s="1"/>
  <c r="C256" i="15"/>
  <c r="A257" i="15"/>
  <c r="F254" i="15"/>
  <c r="A258" i="15" l="1"/>
  <c r="B257" i="15"/>
  <c r="E257" i="15" s="1"/>
  <c r="C257" i="15"/>
  <c r="D256" i="15"/>
  <c r="F256" i="15" l="1"/>
  <c r="D257" i="15"/>
  <c r="B258" i="15"/>
  <c r="E258" i="15" s="1"/>
  <c r="C258" i="15"/>
  <c r="A259" i="15"/>
  <c r="D258" i="15" l="1"/>
  <c r="F258" i="15" s="1"/>
  <c r="A260" i="15"/>
  <c r="B259" i="15"/>
  <c r="E259" i="15" s="1"/>
  <c r="C259" i="15"/>
  <c r="F257" i="15"/>
  <c r="D259" i="15" l="1"/>
  <c r="F259" i="15" s="1"/>
  <c r="B260" i="15"/>
  <c r="E260" i="15" s="1"/>
  <c r="C260" i="15"/>
  <c r="A261" i="15"/>
  <c r="C261" i="15" l="1"/>
  <c r="A262" i="15"/>
  <c r="B261" i="15"/>
  <c r="E261" i="15" s="1"/>
  <c r="D260" i="15"/>
  <c r="F260" i="15" s="1"/>
  <c r="C262" i="15" l="1"/>
  <c r="B262" i="15"/>
  <c r="E262" i="15" s="1"/>
  <c r="A263" i="15"/>
  <c r="D261" i="15"/>
  <c r="F261" i="15" l="1"/>
  <c r="D262" i="15"/>
  <c r="A264" i="15"/>
  <c r="B263" i="15"/>
  <c r="E263" i="15" s="1"/>
  <c r="C263" i="15"/>
  <c r="D263" i="15" l="1"/>
  <c r="F263" i="15" s="1"/>
  <c r="B264" i="15"/>
  <c r="E264" i="15" s="1"/>
  <c r="C264" i="15"/>
  <c r="A265" i="15"/>
  <c r="F262" i="15"/>
  <c r="D264" i="15" l="1"/>
  <c r="A266" i="15"/>
  <c r="B265" i="15"/>
  <c r="E265" i="15" s="1"/>
  <c r="C265" i="15"/>
  <c r="D265" i="15" l="1"/>
  <c r="B266" i="15"/>
  <c r="E266" i="15" s="1"/>
  <c r="C266" i="15"/>
  <c r="A267" i="15"/>
  <c r="F264" i="15"/>
  <c r="B267" i="15" l="1"/>
  <c r="E267" i="15" s="1"/>
  <c r="C267" i="15"/>
  <c r="A268" i="15"/>
  <c r="D266" i="15"/>
  <c r="F266" i="15" s="1"/>
  <c r="F265" i="15"/>
  <c r="C268" i="15" l="1"/>
  <c r="B268" i="15"/>
  <c r="E268" i="15" s="1"/>
  <c r="D267" i="15"/>
  <c r="F267" i="15" l="1"/>
  <c r="D268" i="15"/>
  <c r="F268" i="15" s="1"/>
</calcChain>
</file>

<file path=xl/sharedStrings.xml><?xml version="1.0" encoding="utf-8"?>
<sst xmlns="http://schemas.openxmlformats.org/spreadsheetml/2006/main" count="1805" uniqueCount="661">
  <si>
    <t xml:space="preserve">Decibel ⇄ Linear in Cable-Systems - Academy of EMC </t>
  </si>
  <si>
    <t>Version:</t>
  </si>
  <si>
    <t>1.00.00.2020</t>
  </si>
  <si>
    <t xml:space="preserve">Author: </t>
  </si>
  <si>
    <t>Reto Keller, Academy of EMC</t>
  </si>
  <si>
    <t>Date:</t>
  </si>
  <si>
    <t>2020-May-07</t>
  </si>
  <si>
    <t>This converter calculates dB values from linear values and vice versa.</t>
  </si>
  <si>
    <t xml:space="preserve">Assumptions: </t>
  </si>
  <si>
    <t>All values are root-mean-square (RMS) values, unless otherwise noted.</t>
  </si>
  <si>
    <t>Physical quantity</t>
  </si>
  <si>
    <t>Unit</t>
  </si>
  <si>
    <r>
      <t xml:space="preserve">Voltage </t>
    </r>
    <r>
      <rPr>
        <i/>
        <sz val="9"/>
        <color theme="1"/>
        <rFont val="Helvetica-Normal"/>
      </rPr>
      <t>V</t>
    </r>
  </si>
  <si>
    <t>[V]</t>
  </si>
  <si>
    <r>
      <t>Voltage level dBV, 20*log(</t>
    </r>
    <r>
      <rPr>
        <i/>
        <sz val="9"/>
        <color theme="1"/>
        <rFont val="Helvetica-Normal"/>
      </rPr>
      <t>V</t>
    </r>
    <r>
      <rPr>
        <sz val="9"/>
        <color theme="1"/>
        <rFont val="Helvetica-Normal"/>
      </rPr>
      <t>/1V)</t>
    </r>
  </si>
  <si>
    <t>[dBV]</t>
  </si>
  <si>
    <r>
      <t>Voltage level dBuV, 20*log(</t>
    </r>
    <r>
      <rPr>
        <i/>
        <sz val="9"/>
        <color theme="1"/>
        <rFont val="Helvetica-Normal"/>
      </rPr>
      <t>V</t>
    </r>
    <r>
      <rPr>
        <sz val="9"/>
        <color theme="1"/>
        <rFont val="Helvetica-Normal"/>
      </rPr>
      <t>/1uV)</t>
    </r>
  </si>
  <si>
    <t>[dBuV]</t>
  </si>
  <si>
    <r>
      <t xml:space="preserve">Current </t>
    </r>
    <r>
      <rPr>
        <i/>
        <sz val="9"/>
        <color theme="1"/>
        <rFont val="Helvetica-Normal"/>
      </rPr>
      <t>I</t>
    </r>
  </si>
  <si>
    <t>[A]</t>
  </si>
  <si>
    <r>
      <t>Current level dBA, 20*log(</t>
    </r>
    <r>
      <rPr>
        <i/>
        <sz val="9"/>
        <color theme="1"/>
        <rFont val="Helvetica-Normal"/>
      </rPr>
      <t>I</t>
    </r>
    <r>
      <rPr>
        <sz val="9"/>
        <color theme="1"/>
        <rFont val="Helvetica-Normal"/>
      </rPr>
      <t>/1A)</t>
    </r>
  </si>
  <si>
    <t>[dBA]</t>
  </si>
  <si>
    <r>
      <t>Current level dBuA, 20*log(</t>
    </r>
    <r>
      <rPr>
        <i/>
        <sz val="9"/>
        <color theme="1"/>
        <rFont val="Helvetica-Normal"/>
      </rPr>
      <t>I</t>
    </r>
    <r>
      <rPr>
        <sz val="9"/>
        <color theme="1"/>
        <rFont val="Helvetica-Normal"/>
      </rPr>
      <t>/1uA)</t>
    </r>
  </si>
  <si>
    <t>[dBuA]</t>
  </si>
  <si>
    <r>
      <t xml:space="preserve">Power </t>
    </r>
    <r>
      <rPr>
        <i/>
        <sz val="9"/>
        <color theme="1"/>
        <rFont val="Helvetica-Normal"/>
      </rPr>
      <t>P</t>
    </r>
  </si>
  <si>
    <t>[W]</t>
  </si>
  <si>
    <r>
      <t>Power level dBm, 20*log(</t>
    </r>
    <r>
      <rPr>
        <i/>
        <sz val="9"/>
        <color theme="1"/>
        <rFont val="Helvetica-Normal"/>
      </rPr>
      <t>P</t>
    </r>
    <r>
      <rPr>
        <sz val="9"/>
        <color theme="1"/>
        <rFont val="Helvetica-Normal"/>
      </rPr>
      <t>/1mW)</t>
    </r>
  </si>
  <si>
    <t>[dBm]</t>
  </si>
  <si>
    <r>
      <t>Power level dBm, 20*log(</t>
    </r>
    <r>
      <rPr>
        <i/>
        <sz val="9"/>
        <color theme="1"/>
        <rFont val="Helvetica-Normal"/>
      </rPr>
      <t>P</t>
    </r>
    <r>
      <rPr>
        <sz val="9"/>
        <color theme="1"/>
        <rFont val="Helvetica-Normal"/>
      </rPr>
      <t>/1uW)</t>
    </r>
  </si>
  <si>
    <t>[dBuW]</t>
  </si>
  <si>
    <t>Input parameters</t>
  </si>
  <si>
    <t>Value</t>
  </si>
  <si>
    <t>Remark</t>
  </si>
  <si>
    <r>
      <t xml:space="preserve">Reference impedance </t>
    </r>
    <r>
      <rPr>
        <b/>
        <i/>
        <sz val="9"/>
        <color theme="1"/>
        <rFont val="Helvetica-Normal"/>
      </rPr>
      <t>Z</t>
    </r>
    <r>
      <rPr>
        <b/>
        <i/>
        <vertAlign val="subscript"/>
        <sz val="9"/>
        <color theme="1"/>
        <rFont val="Helvetica-Normal"/>
      </rPr>
      <t>0</t>
    </r>
  </si>
  <si>
    <t>[Ohm]</t>
  </si>
  <si>
    <r>
      <t xml:space="preserve">Calculations below are based on the </t>
    </r>
    <r>
      <rPr>
        <i/>
        <sz val="9"/>
        <color theme="1"/>
        <rFont val="Helvetica-Normal"/>
      </rPr>
      <t>Z</t>
    </r>
    <r>
      <rPr>
        <i/>
        <vertAlign val="subscript"/>
        <sz val="9"/>
        <color theme="1"/>
        <rFont val="Helvetica-Normal"/>
      </rPr>
      <t>0</t>
    </r>
    <r>
      <rPr>
        <sz val="9"/>
        <color theme="1"/>
        <rFont val="Helvetica-Normal"/>
      </rPr>
      <t xml:space="preserve"> you set here.</t>
    </r>
  </si>
  <si>
    <t>Known input values</t>
  </si>
  <si>
    <t>Disclaimer: Your use of this Academy of EMC Excel-Sheet indicates that you accept full responsibility for the results produced, and that you agree to indemnify and hold harmless Reto Keller, Academy of EMC, and it assigns, for any damages that may result from its use.</t>
  </si>
  <si>
    <t xml:space="preserve">Decibel ⇄ Linear in Free-Space - Academy of EMC </t>
  </si>
  <si>
    <t>2020-May-05</t>
  </si>
  <si>
    <t>This field strength calculator converts different field strength units.</t>
  </si>
  <si>
    <t>Assumption: medium = air.</t>
  </si>
  <si>
    <t xml:space="preserve">Physical constants </t>
  </si>
  <si>
    <r>
      <t xml:space="preserve">Electric field strength </t>
    </r>
    <r>
      <rPr>
        <i/>
        <sz val="9"/>
        <color theme="1"/>
        <rFont val="Helvetica-Normal"/>
      </rPr>
      <t>E</t>
    </r>
  </si>
  <si>
    <t>[V/m]</t>
  </si>
  <si>
    <t>Speed of light</t>
  </si>
  <si>
    <t>[m/s]</t>
  </si>
  <si>
    <r>
      <rPr>
        <i/>
        <sz val="9"/>
        <color theme="1"/>
        <rFont val="Helvetica-Normal"/>
      </rPr>
      <t>E</t>
    </r>
    <r>
      <rPr>
        <sz val="9"/>
        <color theme="1"/>
        <rFont val="Helvetica-Normal"/>
      </rPr>
      <t xml:space="preserve"> field level, 20*log(</t>
    </r>
    <r>
      <rPr>
        <i/>
        <sz val="9"/>
        <color theme="1"/>
        <rFont val="Helvetica-Normal"/>
      </rPr>
      <t>E</t>
    </r>
    <r>
      <rPr>
        <sz val="9"/>
        <color theme="1"/>
        <rFont val="Helvetica-Normal"/>
      </rPr>
      <t>/1uV/m)</t>
    </r>
  </si>
  <si>
    <t>[dBuV/m]</t>
  </si>
  <si>
    <r>
      <t xml:space="preserve">Permittivity of vacuum </t>
    </r>
    <r>
      <rPr>
        <sz val="9"/>
        <color theme="1"/>
        <rFont val="Symbol"/>
        <family val="1"/>
        <charset val="2"/>
      </rPr>
      <t>e</t>
    </r>
    <r>
      <rPr>
        <vertAlign val="subscript"/>
        <sz val="9"/>
        <color theme="1"/>
        <rFont val="Helvetica-Normal"/>
      </rPr>
      <t>0</t>
    </r>
  </si>
  <si>
    <t>[F/m]</t>
  </si>
  <si>
    <t>Magnetic field strength H</t>
  </si>
  <si>
    <t>[A/m]</t>
  </si>
  <si>
    <r>
      <t xml:space="preserve">Permeability of vacuum </t>
    </r>
    <r>
      <rPr>
        <sz val="9"/>
        <color theme="1"/>
        <rFont val="Symbol"/>
        <family val="1"/>
        <charset val="2"/>
      </rPr>
      <t>m</t>
    </r>
    <r>
      <rPr>
        <vertAlign val="subscript"/>
        <sz val="9"/>
        <color theme="1"/>
        <rFont val="Helvetica-Normal"/>
      </rPr>
      <t>0</t>
    </r>
  </si>
  <si>
    <t>[H/m]</t>
  </si>
  <si>
    <r>
      <rPr>
        <i/>
        <sz val="9"/>
        <color theme="1"/>
        <rFont val="Helvetica-Normal"/>
      </rPr>
      <t>H</t>
    </r>
    <r>
      <rPr>
        <sz val="9"/>
        <color theme="1"/>
        <rFont val="Helvetica-Normal"/>
      </rPr>
      <t xml:space="preserve"> field level, 20*log(</t>
    </r>
    <r>
      <rPr>
        <i/>
        <sz val="9"/>
        <color theme="1"/>
        <rFont val="Helvetica-Normal"/>
      </rPr>
      <t>H</t>
    </r>
    <r>
      <rPr>
        <sz val="9"/>
        <color theme="1"/>
        <rFont val="Helvetica-Normal"/>
      </rPr>
      <t>/1uA/m)</t>
    </r>
  </si>
  <si>
    <t>[dBuA/m]</t>
  </si>
  <si>
    <r>
      <t xml:space="preserve">Magnetic flux density </t>
    </r>
    <r>
      <rPr>
        <i/>
        <sz val="9"/>
        <color theme="1"/>
        <rFont val="Helvetica-Normal"/>
      </rPr>
      <t>B</t>
    </r>
  </si>
  <si>
    <t>[T]</t>
  </si>
  <si>
    <r>
      <t xml:space="preserve">Magnetic flux density </t>
    </r>
    <r>
      <rPr>
        <i/>
        <sz val="9"/>
        <color theme="1"/>
        <rFont val="Helvetica-Normal"/>
      </rPr>
      <t>B</t>
    </r>
    <r>
      <rPr>
        <sz val="9"/>
        <color theme="1"/>
        <rFont val="Helvetica-Normal"/>
      </rPr>
      <t>*10e9</t>
    </r>
  </si>
  <si>
    <t>[pT]</t>
  </si>
  <si>
    <r>
      <t>Magnetic flux level, 20*log(</t>
    </r>
    <r>
      <rPr>
        <i/>
        <sz val="9"/>
        <color theme="1"/>
        <rFont val="Helvetica-Normal"/>
      </rPr>
      <t>B</t>
    </r>
    <r>
      <rPr>
        <sz val="9"/>
        <color theme="1"/>
        <rFont val="Helvetica-Normal"/>
      </rPr>
      <t>/1pT)</t>
    </r>
  </si>
  <si>
    <t>[dBpT]</t>
  </si>
  <si>
    <t>Gauss</t>
  </si>
  <si>
    <t>[Gs]</t>
  </si>
  <si>
    <r>
      <t xml:space="preserve">Power density </t>
    </r>
    <r>
      <rPr>
        <i/>
        <sz val="9"/>
        <color theme="1"/>
        <rFont val="Helvetica-Normal"/>
      </rPr>
      <t>S</t>
    </r>
  </si>
  <si>
    <r>
      <t>[W/m</t>
    </r>
    <r>
      <rPr>
        <vertAlign val="superscript"/>
        <sz val="9"/>
        <color theme="1"/>
        <rFont val="Helvetica-Normal"/>
      </rPr>
      <t>2</t>
    </r>
    <r>
      <rPr>
        <sz val="9"/>
        <color theme="1"/>
        <rFont val="Helvetica-Normal"/>
      </rPr>
      <t>]</t>
    </r>
  </si>
  <si>
    <r>
      <t>10*log(</t>
    </r>
    <r>
      <rPr>
        <i/>
        <sz val="9"/>
        <color theme="1"/>
        <rFont val="Helvetica-Normal"/>
      </rPr>
      <t>S</t>
    </r>
    <r>
      <rPr>
        <sz val="9"/>
        <color theme="1"/>
        <rFont val="Helvetica-Normal"/>
      </rPr>
      <t>)</t>
    </r>
  </si>
  <si>
    <r>
      <t>[dBW/m</t>
    </r>
    <r>
      <rPr>
        <vertAlign val="superscript"/>
        <sz val="9"/>
        <color theme="1"/>
        <rFont val="Helvetica-Normal"/>
      </rPr>
      <t>2</t>
    </r>
    <r>
      <rPr>
        <sz val="9"/>
        <color theme="1"/>
        <rFont val="Helvetica-Normal"/>
      </rPr>
      <t>]</t>
    </r>
  </si>
  <si>
    <r>
      <t>Power level, 10*log(</t>
    </r>
    <r>
      <rPr>
        <i/>
        <sz val="9"/>
        <color theme="1"/>
        <rFont val="Helvetica-Normal"/>
      </rPr>
      <t>S</t>
    </r>
    <r>
      <rPr>
        <sz val="9"/>
        <color theme="1"/>
        <rFont val="Helvetica-Normal"/>
      </rPr>
      <t>/1mW)</t>
    </r>
  </si>
  <si>
    <r>
      <t>[dBm/m</t>
    </r>
    <r>
      <rPr>
        <vertAlign val="superscript"/>
        <sz val="9"/>
        <color theme="1"/>
        <rFont val="Helvetica-Normal"/>
      </rPr>
      <t>2</t>
    </r>
    <r>
      <rPr>
        <sz val="9"/>
        <color theme="1"/>
        <rFont val="Helvetica-Normal"/>
      </rPr>
      <t>]</t>
    </r>
  </si>
  <si>
    <r>
      <t xml:space="preserve">Power density </t>
    </r>
    <r>
      <rPr>
        <i/>
        <sz val="9"/>
        <color theme="1"/>
        <rFont val="Helvetica-Normal"/>
      </rPr>
      <t>S</t>
    </r>
    <r>
      <rPr>
        <sz val="9"/>
        <color theme="1"/>
        <rFont val="Helvetica-Normal"/>
      </rPr>
      <t xml:space="preserve"> per cm</t>
    </r>
    <r>
      <rPr>
        <vertAlign val="superscript"/>
        <sz val="9"/>
        <color theme="1"/>
        <rFont val="Helvetica-Normal"/>
      </rPr>
      <t>2</t>
    </r>
  </si>
  <si>
    <r>
      <t>[mW/cm</t>
    </r>
    <r>
      <rPr>
        <vertAlign val="superscript"/>
        <sz val="9"/>
        <color theme="1"/>
        <rFont val="Helvetica-Normal"/>
      </rPr>
      <t>2</t>
    </r>
    <r>
      <rPr>
        <sz val="9"/>
        <color theme="1"/>
        <rFont val="Helvetica-Normal"/>
      </rPr>
      <t>]</t>
    </r>
  </si>
  <si>
    <r>
      <t>Wave impedance Z</t>
    </r>
    <r>
      <rPr>
        <vertAlign val="subscript"/>
        <sz val="9"/>
        <color theme="1"/>
        <rFont val="Helvetica-Normal"/>
      </rPr>
      <t>W</t>
    </r>
  </si>
  <si>
    <r>
      <t xml:space="preserve">Calculations below are based on the </t>
    </r>
    <r>
      <rPr>
        <i/>
        <sz val="9"/>
        <color theme="1"/>
        <rFont val="Helvetica-Normal"/>
      </rPr>
      <t>Z</t>
    </r>
    <r>
      <rPr>
        <i/>
        <vertAlign val="subscript"/>
        <sz val="9"/>
        <color theme="1"/>
        <rFont val="Helvetica-Normal"/>
      </rPr>
      <t>W</t>
    </r>
    <r>
      <rPr>
        <sz val="9"/>
        <color theme="1"/>
        <rFont val="Helvetica-Normal"/>
      </rPr>
      <t xml:space="preserve"> = </t>
    </r>
    <r>
      <rPr>
        <i/>
        <sz val="9"/>
        <color theme="1"/>
        <rFont val="Helvetica-Normal"/>
      </rPr>
      <t>E</t>
    </r>
    <r>
      <rPr>
        <sz val="9"/>
        <color theme="1"/>
        <rFont val="Helvetica-Normal"/>
      </rPr>
      <t>/</t>
    </r>
    <r>
      <rPr>
        <i/>
        <sz val="9"/>
        <color theme="1"/>
        <rFont val="Helvetica-Normal"/>
      </rPr>
      <t>H</t>
    </r>
    <r>
      <rPr>
        <sz val="9"/>
        <color theme="1"/>
        <rFont val="Helvetica-Normal"/>
      </rPr>
      <t xml:space="preserve"> you set here. Set </t>
    </r>
    <r>
      <rPr>
        <i/>
        <sz val="9"/>
        <color theme="1"/>
        <rFont val="Helvetica-Normal"/>
      </rPr>
      <t>Z</t>
    </r>
    <r>
      <rPr>
        <i/>
        <vertAlign val="subscript"/>
        <sz val="9"/>
        <color theme="1"/>
        <rFont val="Helvetica-Normal"/>
      </rPr>
      <t>W</t>
    </r>
    <r>
      <rPr>
        <sz val="9"/>
        <color theme="1"/>
        <rFont val="Helvetica-Normal"/>
      </rPr>
      <t xml:space="preserve"> = 377[Ohm] for free-space (far-field).</t>
    </r>
  </si>
  <si>
    <t>[mT]</t>
  </si>
  <si>
    <t>10</t>
  </si>
  <si>
    <t>0.02654</t>
  </si>
  <si>
    <t>88.4793</t>
  </si>
  <si>
    <t>90.4635</t>
  </si>
  <si>
    <t>0.000334</t>
  </si>
  <si>
    <t>0.26544</t>
  </si>
  <si>
    <t>-5.76035</t>
  </si>
  <si>
    <t>24.2396</t>
  </si>
  <si>
    <t>0.026544</t>
  </si>
  <si>
    <t>Near-Field | Far-Field - Academy of EMC</t>
  </si>
  <si>
    <t>2020-Jun-14</t>
  </si>
  <si>
    <t>Ideal Electrical Hertzian Dipole vs. Real Antennas</t>
  </si>
  <si>
    <r>
      <t>For an ideal</t>
    </r>
    <r>
      <rPr>
        <b/>
        <sz val="9"/>
        <color theme="1"/>
        <rFont val="Helvetica-Normal"/>
      </rPr>
      <t xml:space="preserve"> Hertzian Dipole (indefinitely small) </t>
    </r>
    <r>
      <rPr>
        <sz val="9"/>
        <color theme="1"/>
        <rFont val="Helvetica-Normal"/>
      </rPr>
      <t xml:space="preserve">the near-field to far-field boundary is defined as </t>
    </r>
    <r>
      <rPr>
        <i/>
        <sz val="9"/>
        <color theme="1"/>
        <rFont val="Helvetica-Normal"/>
      </rPr>
      <t>d</t>
    </r>
    <r>
      <rPr>
        <sz val="9"/>
        <color theme="1"/>
        <rFont val="Helvetica-Normal"/>
      </rPr>
      <t>=</t>
    </r>
    <r>
      <rPr>
        <sz val="9"/>
        <color theme="1"/>
        <rFont val="Symbol"/>
        <family val="1"/>
        <charset val="2"/>
      </rPr>
      <t>l</t>
    </r>
    <r>
      <rPr>
        <sz val="9"/>
        <color theme="1"/>
        <rFont val="Helvetica-Normal"/>
      </rPr>
      <t>/(2*</t>
    </r>
    <r>
      <rPr>
        <sz val="9"/>
        <color theme="1"/>
        <rFont val="Symbol"/>
        <family val="1"/>
        <charset val="2"/>
      </rPr>
      <t>p</t>
    </r>
    <r>
      <rPr>
        <sz val="9"/>
        <color theme="1"/>
        <rFont val="Helvetica-Normal"/>
      </rPr>
      <t xml:space="preserve">). </t>
    </r>
  </si>
  <si>
    <r>
      <t xml:space="preserve">In practice, the boundary between near- and far-field depends on the </t>
    </r>
    <r>
      <rPr>
        <b/>
        <sz val="9"/>
        <color theme="1"/>
        <rFont val="Helvetica-Normal"/>
      </rPr>
      <t xml:space="preserve">wavelength </t>
    </r>
    <r>
      <rPr>
        <b/>
        <i/>
        <sz val="9"/>
        <color theme="1"/>
        <rFont val="Symbol"/>
        <family val="1"/>
        <charset val="2"/>
      </rPr>
      <t xml:space="preserve">l </t>
    </r>
    <r>
      <rPr>
        <b/>
        <sz val="9"/>
        <color theme="1"/>
        <rFont val="Helvetica-Normal"/>
      </rPr>
      <t xml:space="preserve">[m] </t>
    </r>
    <r>
      <rPr>
        <sz val="9"/>
        <color theme="1"/>
        <rFont val="Helvetica-Normal"/>
      </rPr>
      <t xml:space="preserve">and the maximum </t>
    </r>
    <r>
      <rPr>
        <b/>
        <sz val="9"/>
        <color theme="1"/>
        <rFont val="Helvetica-Normal"/>
      </rPr>
      <t xml:space="preserve">dimension </t>
    </r>
    <r>
      <rPr>
        <b/>
        <i/>
        <sz val="9"/>
        <color theme="1"/>
        <rFont val="Helvetica-Normal"/>
      </rPr>
      <t>D</t>
    </r>
    <r>
      <rPr>
        <b/>
        <sz val="9"/>
        <color theme="1"/>
        <rFont val="Helvetica-Normal"/>
      </rPr>
      <t xml:space="preserve"> [m]</t>
    </r>
    <r>
      <rPr>
        <sz val="9"/>
        <color theme="1"/>
        <rFont val="Helvetica-Normal"/>
      </rPr>
      <t xml:space="preserve"> of the antenna.</t>
    </r>
  </si>
  <si>
    <r>
      <t xml:space="preserve">The areas around a transmitting antenna can be roughly categorized in three parts: </t>
    </r>
    <r>
      <rPr>
        <b/>
        <sz val="9"/>
        <color theme="1"/>
        <rFont val="Helvetica-Normal"/>
      </rPr>
      <t>reactive near-field, radiative near-field, far-field.</t>
    </r>
  </si>
  <si>
    <r>
      <t>Electrically small antennas (</t>
    </r>
    <r>
      <rPr>
        <b/>
        <i/>
        <sz val="9"/>
        <color theme="1"/>
        <rFont val="Helvetica-Normal"/>
      </rPr>
      <t>D</t>
    </r>
    <r>
      <rPr>
        <b/>
        <sz val="9"/>
        <color theme="1"/>
        <rFont val="Helvetica-Normal"/>
      </rPr>
      <t>&lt;</t>
    </r>
    <r>
      <rPr>
        <b/>
        <i/>
        <sz val="9"/>
        <color theme="1"/>
        <rFont val="Symbol"/>
        <family val="1"/>
        <charset val="2"/>
      </rPr>
      <t>l</t>
    </r>
    <r>
      <rPr>
        <b/>
        <sz val="9"/>
        <color theme="1"/>
        <rFont val="Helvetica-Normal"/>
      </rPr>
      <t>/2)</t>
    </r>
  </si>
  <si>
    <r>
      <t>Electrically small antennas (</t>
    </r>
    <r>
      <rPr>
        <i/>
        <sz val="9"/>
        <color theme="1"/>
        <rFont val="Helvetica-Normal"/>
      </rPr>
      <t>D</t>
    </r>
    <r>
      <rPr>
        <sz val="9"/>
        <color theme="1"/>
        <rFont val="Helvetica-Normal"/>
      </rPr>
      <t>&lt;</t>
    </r>
    <r>
      <rPr>
        <i/>
        <sz val="9"/>
        <color theme="1"/>
        <rFont val="Symbol"/>
        <family val="1"/>
        <charset val="2"/>
      </rPr>
      <t>l</t>
    </r>
    <r>
      <rPr>
        <sz val="9"/>
        <color theme="1"/>
        <rFont val="Helvetica-Normal"/>
      </rPr>
      <t>/2), have a reactive near-field, but no significant radiative near-field or far-field.</t>
    </r>
  </si>
  <si>
    <r>
      <t>Electrically large antennas (</t>
    </r>
    <r>
      <rPr>
        <b/>
        <i/>
        <sz val="9"/>
        <color theme="1"/>
        <rFont val="Helvetica-Normal"/>
      </rPr>
      <t>D</t>
    </r>
    <r>
      <rPr>
        <b/>
        <sz val="9"/>
        <color theme="1"/>
        <rFont val="Helvetica-Normal"/>
      </rPr>
      <t>&gt;</t>
    </r>
    <r>
      <rPr>
        <b/>
        <i/>
        <sz val="9"/>
        <color theme="1"/>
        <rFont val="Symbol"/>
        <family val="1"/>
        <charset val="2"/>
      </rPr>
      <t>l</t>
    </r>
    <r>
      <rPr>
        <b/>
        <sz val="9"/>
        <color theme="1"/>
        <rFont val="Helvetica-Normal"/>
      </rPr>
      <t>/2)</t>
    </r>
  </si>
  <si>
    <r>
      <t>Electrically large antennas (</t>
    </r>
    <r>
      <rPr>
        <i/>
        <sz val="9"/>
        <color theme="1"/>
        <rFont val="Helvetica-Normal"/>
      </rPr>
      <t>D</t>
    </r>
    <r>
      <rPr>
        <sz val="9"/>
        <color theme="1"/>
        <rFont val="Helvetica-Normal"/>
      </rPr>
      <t>&gt;</t>
    </r>
    <r>
      <rPr>
        <i/>
        <sz val="9"/>
        <color theme="1"/>
        <rFont val="Symbol"/>
        <family val="1"/>
        <charset val="2"/>
      </rPr>
      <t>l</t>
    </r>
    <r>
      <rPr>
        <sz val="9"/>
        <color theme="1"/>
        <rFont val="Helvetica-Normal"/>
      </rPr>
      <t>/2), have all three categories of fields: reactive near-field, radiative near-field, far-field.</t>
    </r>
  </si>
  <si>
    <r>
      <t xml:space="preserve">Frequency </t>
    </r>
    <r>
      <rPr>
        <i/>
        <sz val="9"/>
        <color theme="1"/>
        <rFont val="Helvetica-Normal"/>
      </rPr>
      <t>f</t>
    </r>
  </si>
  <si>
    <t>[Hz]</t>
  </si>
  <si>
    <r>
      <t xml:space="preserve">Speed of light </t>
    </r>
    <r>
      <rPr>
        <i/>
        <sz val="9"/>
        <color theme="1"/>
        <rFont val="Helvetica-Normal"/>
      </rPr>
      <t>c</t>
    </r>
  </si>
  <si>
    <r>
      <t xml:space="preserve">Wavelength </t>
    </r>
    <r>
      <rPr>
        <i/>
        <sz val="9"/>
        <color theme="1"/>
        <rFont val="Symbol"/>
        <family val="1"/>
        <charset val="2"/>
      </rPr>
      <t>l</t>
    </r>
  </si>
  <si>
    <t>[m]</t>
  </si>
  <si>
    <r>
      <t xml:space="preserve">Relative permittivity </t>
    </r>
    <r>
      <rPr>
        <sz val="9"/>
        <color theme="1"/>
        <rFont val="Symbol"/>
        <family val="1"/>
        <charset val="2"/>
      </rPr>
      <t>e</t>
    </r>
    <r>
      <rPr>
        <vertAlign val="subscript"/>
        <sz val="9"/>
        <color theme="1"/>
        <rFont val="Helvetica-Normal"/>
      </rPr>
      <t>r</t>
    </r>
  </si>
  <si>
    <t>1</t>
  </si>
  <si>
    <t>[1]</t>
  </si>
  <si>
    <r>
      <t xml:space="preserve">Relative permeability </t>
    </r>
    <r>
      <rPr>
        <sz val="9"/>
        <color theme="1"/>
        <rFont val="Symbol"/>
        <family val="1"/>
        <charset val="2"/>
      </rPr>
      <t>m</t>
    </r>
    <r>
      <rPr>
        <vertAlign val="subscript"/>
        <sz val="9"/>
        <color theme="1"/>
        <rFont val="Helvetica-Normal"/>
      </rPr>
      <t>r</t>
    </r>
  </si>
  <si>
    <r>
      <t xml:space="preserve">Maximum dimension </t>
    </r>
    <r>
      <rPr>
        <i/>
        <sz val="9"/>
        <color theme="1"/>
        <rFont val="Helvetica-Normal"/>
      </rPr>
      <t>D</t>
    </r>
  </si>
  <si>
    <r>
      <t xml:space="preserve">Maximum linear dimension </t>
    </r>
    <r>
      <rPr>
        <i/>
        <sz val="9"/>
        <color theme="1"/>
        <rFont val="Helvetica-Normal"/>
      </rPr>
      <t>D</t>
    </r>
    <r>
      <rPr>
        <sz val="9"/>
        <color theme="1"/>
        <rFont val="Helvetica-Normal"/>
      </rPr>
      <t xml:space="preserve"> (aperture, length) of the antenna. </t>
    </r>
  </si>
  <si>
    <r>
      <rPr>
        <i/>
        <sz val="9"/>
        <color theme="1"/>
        <rFont val="Helvetica-Normal"/>
      </rPr>
      <t>f</t>
    </r>
    <r>
      <rPr>
        <sz val="9"/>
        <color theme="1"/>
        <rFont val="Helvetica-Normal"/>
      </rPr>
      <t xml:space="preserve"> where </t>
    </r>
    <r>
      <rPr>
        <i/>
        <sz val="9"/>
        <color theme="1"/>
        <rFont val="Helvetica-Normal"/>
      </rPr>
      <t>D</t>
    </r>
    <r>
      <rPr>
        <sz val="9"/>
        <color theme="1"/>
        <rFont val="Helvetica-Normal"/>
      </rPr>
      <t xml:space="preserve">= </t>
    </r>
    <r>
      <rPr>
        <sz val="9"/>
        <color theme="1"/>
        <rFont val="Symbol"/>
        <family val="1"/>
        <charset val="2"/>
      </rPr>
      <t>l</t>
    </r>
    <r>
      <rPr>
        <sz val="9"/>
        <color theme="1"/>
        <rFont val="Helvetica-Normal"/>
      </rPr>
      <t>/2</t>
    </r>
  </si>
  <si>
    <r>
      <t xml:space="preserve">Frequency </t>
    </r>
    <r>
      <rPr>
        <i/>
        <sz val="9"/>
        <color theme="1"/>
        <rFont val="Helvetica-Normal"/>
      </rPr>
      <t>f</t>
    </r>
    <r>
      <rPr>
        <sz val="9"/>
        <color theme="1"/>
        <rFont val="Helvetica-Normal"/>
      </rPr>
      <t xml:space="preserve"> at which the antenna with dimension </t>
    </r>
    <r>
      <rPr>
        <i/>
        <sz val="9"/>
        <color theme="1"/>
        <rFont val="Helvetica-Normal"/>
      </rPr>
      <t>D</t>
    </r>
    <r>
      <rPr>
        <sz val="9"/>
        <color theme="1"/>
        <rFont val="Helvetica-Normal"/>
      </rPr>
      <t xml:space="preserve"> starts to be a good radiator.</t>
    </r>
  </si>
  <si>
    <t>Frequency and Wavelength</t>
  </si>
  <si>
    <r>
      <t>Electrically small antennas (D&lt;</t>
    </r>
    <r>
      <rPr>
        <b/>
        <sz val="9"/>
        <rFont val="Symbol"/>
        <family val="1"/>
        <charset val="2"/>
      </rPr>
      <t>l</t>
    </r>
    <r>
      <rPr>
        <b/>
        <sz val="9"/>
        <rFont val="Helvetica-Normal"/>
      </rPr>
      <t>/2)</t>
    </r>
  </si>
  <si>
    <r>
      <t>Electrically large antennas (D&gt;</t>
    </r>
    <r>
      <rPr>
        <b/>
        <sz val="9"/>
        <rFont val="Symbol"/>
        <family val="1"/>
        <charset val="2"/>
      </rPr>
      <t>l</t>
    </r>
    <r>
      <rPr>
        <b/>
        <sz val="9"/>
        <rFont val="Helvetica-Normal"/>
      </rPr>
      <t>/2)</t>
    </r>
  </si>
  <si>
    <r>
      <rPr>
        <b/>
        <i/>
        <sz val="9"/>
        <color theme="1"/>
        <rFont val="Helvetica-Normal"/>
      </rPr>
      <t>f</t>
    </r>
    <r>
      <rPr>
        <b/>
        <sz val="9"/>
        <color theme="1"/>
        <rFont val="Helvetica-Normal"/>
      </rPr>
      <t xml:space="preserve"> [Hz]</t>
    </r>
  </si>
  <si>
    <r>
      <t xml:space="preserve"> </t>
    </r>
    <r>
      <rPr>
        <b/>
        <sz val="9"/>
        <color theme="1"/>
        <rFont val="Symbol"/>
        <family val="1"/>
        <charset val="2"/>
      </rPr>
      <t>l</t>
    </r>
    <r>
      <rPr>
        <b/>
        <sz val="9"/>
        <color theme="1"/>
        <rFont val="Helvetica-Normal"/>
      </rPr>
      <t xml:space="preserve"> [m]</t>
    </r>
  </si>
  <si>
    <r>
      <rPr>
        <b/>
        <sz val="9"/>
        <color theme="1"/>
        <rFont val="Symbol"/>
        <family val="1"/>
        <charset val="2"/>
      </rPr>
      <t>l</t>
    </r>
    <r>
      <rPr>
        <b/>
        <sz val="9"/>
        <color theme="1"/>
        <rFont val="Helvetica-Normal"/>
      </rPr>
      <t>/2 [m]</t>
    </r>
  </si>
  <si>
    <t>Reactive Near Field Boundary [m]</t>
  </si>
  <si>
    <t>Radiative Near Field Boundary [m]</t>
  </si>
  <si>
    <t>EIRP</t>
  </si>
  <si>
    <t>[mW], [dBm]</t>
  </si>
  <si>
    <t>ERP</t>
  </si>
  <si>
    <r>
      <t xml:space="preserve">Wavelength </t>
    </r>
    <r>
      <rPr>
        <b/>
        <sz val="9"/>
        <color theme="1"/>
        <rFont val="Symbol"/>
        <family val="1"/>
        <charset val="2"/>
      </rPr>
      <t xml:space="preserve">l </t>
    </r>
    <r>
      <rPr>
        <b/>
        <sz val="9"/>
        <color theme="1"/>
        <rFont val="Helvetica-Normal"/>
      </rPr>
      <t xml:space="preserve">[m] vs. Frequency </t>
    </r>
    <r>
      <rPr>
        <b/>
        <i/>
        <sz val="9"/>
        <color theme="1"/>
        <rFont val="Helvetica-Normal"/>
      </rPr>
      <t>f</t>
    </r>
    <r>
      <rPr>
        <b/>
        <sz val="9"/>
        <color theme="1"/>
        <rFont val="Helvetica-Normal"/>
      </rPr>
      <t xml:space="preserve"> [Hz]</t>
    </r>
  </si>
  <si>
    <r>
      <t xml:space="preserve">Calculation of the wavelength </t>
    </r>
    <r>
      <rPr>
        <i/>
        <sz val="9"/>
        <color theme="1"/>
        <rFont val="Symbol"/>
        <family val="1"/>
        <charset val="2"/>
      </rPr>
      <t>l</t>
    </r>
    <r>
      <rPr>
        <sz val="9"/>
        <color theme="1"/>
        <rFont val="Helvetica-Normal"/>
      </rPr>
      <t xml:space="preserve"> for a given frequency </t>
    </r>
    <r>
      <rPr>
        <i/>
        <sz val="9"/>
        <color theme="1"/>
        <rFont val="Helvetica-Normal"/>
      </rPr>
      <t>f</t>
    </r>
    <r>
      <rPr>
        <sz val="9"/>
        <color theme="1"/>
        <rFont val="Helvetica-Normal"/>
      </rPr>
      <t xml:space="preserve"> and ivce versa of an electromagnetic wave in a media with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t>
    </r>
  </si>
  <si>
    <r>
      <t xml:space="preserve">Wavelength depends on relative permittivity </t>
    </r>
    <r>
      <rPr>
        <sz val="9"/>
        <color theme="1"/>
        <rFont val="Symbol"/>
        <family val="1"/>
        <charset val="2"/>
      </rPr>
      <t>e</t>
    </r>
    <r>
      <rPr>
        <vertAlign val="subscript"/>
        <sz val="9"/>
        <color theme="1"/>
        <rFont val="Helvetica-Normal"/>
      </rPr>
      <t>r</t>
    </r>
    <r>
      <rPr>
        <sz val="9"/>
        <color theme="1"/>
        <rFont val="Helvetica-Normal"/>
      </rPr>
      <t xml:space="preserve"> (set 1 for air)</t>
    </r>
  </si>
  <si>
    <r>
      <t xml:space="preserve">Wavelength depends on relative permeability </t>
    </r>
    <r>
      <rPr>
        <sz val="9"/>
        <color theme="1"/>
        <rFont val="Symbol"/>
        <family val="1"/>
        <charset val="2"/>
      </rPr>
      <t>m</t>
    </r>
    <r>
      <rPr>
        <vertAlign val="subscript"/>
        <sz val="9"/>
        <color theme="1"/>
        <rFont val="Helvetica-Normal"/>
      </rPr>
      <t>r</t>
    </r>
    <r>
      <rPr>
        <sz val="9"/>
        <color theme="1"/>
        <rFont val="Helvetica-Normal"/>
      </rPr>
      <t xml:space="preserve"> (set 1 for air)</t>
    </r>
  </si>
  <si>
    <r>
      <rPr>
        <b/>
        <i/>
        <sz val="9"/>
        <color theme="1"/>
        <rFont val="Symbol"/>
        <family val="1"/>
        <charset val="2"/>
      </rPr>
      <t>l</t>
    </r>
    <r>
      <rPr>
        <b/>
        <sz val="9"/>
        <color theme="1"/>
        <rFont val="Helvetica-Normal"/>
      </rPr>
      <t xml:space="preserve"> [m]</t>
    </r>
  </si>
  <si>
    <t>1000e6</t>
  </si>
  <si>
    <r>
      <rPr>
        <i/>
        <sz val="9"/>
        <color theme="1"/>
        <rFont val="Helvetica-Normal"/>
      </rPr>
      <t>f</t>
    </r>
    <r>
      <rPr>
        <sz val="9"/>
        <color theme="1"/>
        <rFont val="Helvetica-Normal"/>
      </rPr>
      <t xml:space="preserve"> [Hz]</t>
    </r>
  </si>
  <si>
    <r>
      <t xml:space="preserve">Set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 xml:space="preserve"> above</t>
    </r>
  </si>
  <si>
    <t>0.141</t>
  </si>
  <si>
    <t>Radiated Power Calculator</t>
  </si>
  <si>
    <t>EIRP [mW]</t>
  </si>
  <si>
    <t>EIRP [dBm]</t>
  </si>
  <si>
    <t>ERP [mW]</t>
  </si>
  <si>
    <t>ERP [dBm]</t>
  </si>
  <si>
    <t>[dBuV/m] @ 3m</t>
  </si>
  <si>
    <t>[dBuV/m] @ 10m</t>
  </si>
  <si>
    <t>More will follow</t>
  </si>
  <si>
    <r>
      <t>Impedance Matching Calculations (</t>
    </r>
    <r>
      <rPr>
        <b/>
        <sz val="9"/>
        <color theme="1"/>
        <rFont val="Symbol"/>
        <family val="1"/>
        <charset val="2"/>
      </rPr>
      <t>G</t>
    </r>
    <r>
      <rPr>
        <b/>
        <sz val="9"/>
        <color theme="1"/>
        <rFont val="Helvetica-Normal"/>
      </rPr>
      <t>, VSWR, RL) - Academy of EMC</t>
    </r>
  </si>
  <si>
    <r>
      <t>[</t>
    </r>
    <r>
      <rPr>
        <sz val="9"/>
        <color theme="1"/>
        <rFont val="Symbol"/>
        <family val="1"/>
        <charset val="2"/>
      </rPr>
      <t>W</t>
    </r>
    <r>
      <rPr>
        <sz val="9"/>
        <color theme="1"/>
        <rFont val="Helvetica-Normal"/>
      </rPr>
      <t>]</t>
    </r>
  </si>
  <si>
    <r>
      <t xml:space="preserve">Load impedance </t>
    </r>
    <r>
      <rPr>
        <i/>
        <sz val="9"/>
        <color theme="1"/>
        <rFont val="Helvetica-Normal"/>
      </rPr>
      <t>Z</t>
    </r>
    <r>
      <rPr>
        <vertAlign val="subscript"/>
        <sz val="9"/>
        <color theme="1"/>
        <rFont val="Helvetica-Normal"/>
      </rPr>
      <t>load</t>
    </r>
  </si>
  <si>
    <r>
      <t xml:space="preserve">Reflection coefficient </t>
    </r>
    <r>
      <rPr>
        <sz val="9"/>
        <color theme="1"/>
        <rFont val="Symbol"/>
        <family val="1"/>
        <charset val="2"/>
      </rPr>
      <t>G</t>
    </r>
    <r>
      <rPr>
        <sz val="9"/>
        <color theme="1"/>
        <rFont val="Helvetica-Normal"/>
      </rPr>
      <t xml:space="preserve">, </t>
    </r>
    <r>
      <rPr>
        <i/>
        <sz val="9"/>
        <color theme="1"/>
        <rFont val="Helvetica-Normal"/>
      </rPr>
      <t>s</t>
    </r>
    <r>
      <rPr>
        <vertAlign val="subscript"/>
        <sz val="9"/>
        <color theme="1"/>
        <rFont val="Helvetica-Normal"/>
      </rPr>
      <t>11</t>
    </r>
  </si>
  <si>
    <t>Voltage standing wave ratio VSWR</t>
  </si>
  <si>
    <t>Return loss RL</t>
  </si>
  <si>
    <t>[dB]</t>
  </si>
  <si>
    <t>Degree of
Matching</t>
  </si>
  <si>
    <r>
      <t>Z</t>
    </r>
    <r>
      <rPr>
        <b/>
        <vertAlign val="subscript"/>
        <sz val="11"/>
        <color theme="1"/>
        <rFont val="Calibri"/>
        <family val="2"/>
        <scheme val="minor"/>
      </rPr>
      <t>load</t>
    </r>
    <r>
      <rPr>
        <b/>
        <sz val="11"/>
        <color theme="1"/>
        <rFont val="Calibri"/>
        <family val="2"/>
        <scheme val="minor"/>
      </rPr>
      <t xml:space="preserve"> [</t>
    </r>
    <r>
      <rPr>
        <b/>
        <sz val="11"/>
        <color theme="1"/>
        <rFont val="Calibri"/>
        <family val="2"/>
      </rPr>
      <t>Ω</t>
    </r>
    <r>
      <rPr>
        <b/>
        <sz val="11"/>
        <color theme="1"/>
        <rFont val="Calibri"/>
        <family val="2"/>
        <scheme val="minor"/>
      </rPr>
      <t>]</t>
    </r>
  </si>
  <si>
    <t>|Г| [1]</t>
  </si>
  <si>
    <t>|Г| [dB]</t>
  </si>
  <si>
    <t>|VSWR|:1 [1]</t>
  </si>
  <si>
    <t>RL [dB]</t>
  </si>
  <si>
    <t>Power
Transfer  [%]</t>
  </si>
  <si>
    <t>Power
Reflection [%]</t>
  </si>
  <si>
    <t>Perfectly
matched</t>
  </si>
  <si>
    <t>1:1</t>
  </si>
  <si>
    <t>100</t>
  </si>
  <si>
    <t>0</t>
  </si>
  <si>
    <t>Good matching</t>
  </si>
  <si>
    <t>&lt; 1.5:1</t>
  </si>
  <si>
    <t>&gt; 14 [dB]</t>
  </si>
  <si>
    <t>&gt; 96</t>
  </si>
  <si>
    <t>&lt; 4</t>
  </si>
  <si>
    <t>&lt; 0.2</t>
  </si>
  <si>
    <t>Poor matching</t>
  </si>
  <si>
    <t>Unmatched</t>
  </si>
  <si>
    <t>&gt; 0.3</t>
  </si>
  <si>
    <t>&gt; 2:1</t>
  </si>
  <si>
    <t>&lt; 89</t>
  </si>
  <si>
    <t>&gt; 11</t>
  </si>
  <si>
    <t>Total
reflection</t>
  </si>
  <si>
    <r>
      <t xml:space="preserve">System impedance </t>
    </r>
    <r>
      <rPr>
        <i/>
        <sz val="9"/>
        <color theme="1"/>
        <rFont val="Helvetica-Normal"/>
      </rPr>
      <t>Z</t>
    </r>
    <r>
      <rPr>
        <vertAlign val="subscript"/>
        <sz val="9"/>
        <color theme="1"/>
        <rFont val="Helvetica-Normal"/>
      </rPr>
      <t>0</t>
    </r>
  </si>
  <si>
    <r>
      <t xml:space="preserve">System impedance </t>
    </r>
    <r>
      <rPr>
        <i/>
        <sz val="9"/>
        <color theme="1"/>
        <rFont val="Helvetica-Normal"/>
      </rPr>
      <t>Z</t>
    </r>
    <r>
      <rPr>
        <vertAlign val="subscript"/>
        <sz val="9"/>
        <color theme="1"/>
        <rFont val="Helvetica-Normal"/>
      </rPr>
      <t>0</t>
    </r>
    <r>
      <rPr>
        <sz val="9"/>
        <color theme="1"/>
        <rFont val="Helvetica-Normal"/>
      </rPr>
      <t xml:space="preserve"> or source impedance </t>
    </r>
    <r>
      <rPr>
        <i/>
        <sz val="9"/>
        <color theme="1"/>
        <rFont val="Helvetica-Normal"/>
      </rPr>
      <t>Z</t>
    </r>
    <r>
      <rPr>
        <vertAlign val="subscript"/>
        <sz val="9"/>
        <color theme="1"/>
        <rFont val="Helvetica-Normal"/>
      </rPr>
      <t>source</t>
    </r>
    <r>
      <rPr>
        <sz val="9"/>
        <color theme="1"/>
        <rFont val="Helvetica-Normal"/>
      </rPr>
      <t xml:space="preserve"> . This sheet only calculates with real parts (no imaginary part)</t>
    </r>
  </si>
  <si>
    <t>%</t>
  </si>
  <si>
    <t>∞</t>
  </si>
  <si>
    <t>Voltage standing wave ratio |VSWR|</t>
  </si>
  <si>
    <t>VSWR = StandingWaveMax/StandingWaveMin</t>
  </si>
  <si>
    <t>E.g. impedance of the antenna</t>
  </si>
  <si>
    <t>-∞</t>
  </si>
  <si>
    <t>&lt; -14 [dB]</t>
  </si>
  <si>
    <t>0.2...0.3</t>
  </si>
  <si>
    <t>0…10 [dB]</t>
  </si>
  <si>
    <t>-14…-10 [dB]</t>
  </si>
  <si>
    <t>10…14 [dB]</t>
  </si>
  <si>
    <t>-10…0 [dB]</t>
  </si>
  <si>
    <t>89…94</t>
  </si>
  <si>
    <t>1.5:1...2:1</t>
  </si>
  <si>
    <t>4...11</t>
  </si>
  <si>
    <t>0.01</t>
  </si>
  <si>
    <t>1.02</t>
  </si>
  <si>
    <t>P transmitter</t>
  </si>
  <si>
    <t>d [m]</t>
  </si>
  <si>
    <t>Antenna gain transmitter Gt</t>
  </si>
  <si>
    <t>Antenna gain receiver Gr</t>
  </si>
  <si>
    <t>[dBi]</t>
  </si>
  <si>
    <t>Electromagnetic Radiation and Field Strength for EMC Immunity Testing - Academy of EMC</t>
  </si>
  <si>
    <r>
      <t xml:space="preserve">Assumptions: Medium = air. Distance </t>
    </r>
    <r>
      <rPr>
        <i/>
        <sz val="9"/>
        <color theme="1"/>
        <rFont val="Helvetica-Normal"/>
      </rPr>
      <t>d</t>
    </r>
    <r>
      <rPr>
        <sz val="9"/>
        <color theme="1"/>
        <rFont val="Helvetica-Normal"/>
      </rPr>
      <t xml:space="preserve"> = in the far-field</t>
    </r>
  </si>
  <si>
    <t>Wavelength vs. Frequency Calculator - Academy of EMC</t>
  </si>
  <si>
    <t>[m/sec]</t>
  </si>
  <si>
    <r>
      <t xml:space="preserve">Frequency of the sinusoidal signal. Set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 xml:space="preserve"> of the media above.</t>
    </r>
  </si>
  <si>
    <r>
      <t xml:space="preserve">Wavelength of the sinusoidal signal. Set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 xml:space="preserve"> of the media above.</t>
    </r>
  </si>
  <si>
    <r>
      <t xml:space="preserve">Velocity </t>
    </r>
    <r>
      <rPr>
        <i/>
        <sz val="9"/>
        <color theme="1"/>
        <rFont val="Helvetica-Normal"/>
      </rPr>
      <t>v</t>
    </r>
  </si>
  <si>
    <r>
      <t xml:space="preserve">Velocity of the sinusoidal signal with frequency </t>
    </r>
    <r>
      <rPr>
        <i/>
        <sz val="9"/>
        <color theme="1"/>
        <rFont val="Helvetica-Normal"/>
      </rPr>
      <t>f</t>
    </r>
    <r>
      <rPr>
        <sz val="9"/>
        <color theme="1"/>
        <rFont val="Helvetica-Normal"/>
      </rPr>
      <t xml:space="preserve"> and wavelangth </t>
    </r>
    <r>
      <rPr>
        <sz val="9"/>
        <color theme="1"/>
        <rFont val="Symbol"/>
        <family val="1"/>
        <charset val="2"/>
      </rPr>
      <t>l</t>
    </r>
    <r>
      <rPr>
        <sz val="9"/>
        <color theme="1"/>
        <rFont val="Helvetica-Normal"/>
      </rPr>
      <t>.</t>
    </r>
  </si>
  <si>
    <r>
      <rPr>
        <b/>
        <sz val="9"/>
        <color theme="1"/>
        <rFont val="Helvetica-Normal"/>
      </rPr>
      <t xml:space="preserve">Wavelength λ [m] </t>
    </r>
    <r>
      <rPr>
        <sz val="9"/>
        <color theme="1"/>
        <rFont val="Helvetica-Normal"/>
      </rPr>
      <t xml:space="preserve">of a sinusoidal signal is given by its frequency </t>
    </r>
    <r>
      <rPr>
        <i/>
        <sz val="9"/>
        <color theme="1"/>
        <rFont val="Helvetica-Normal"/>
      </rPr>
      <t>f</t>
    </r>
    <r>
      <rPr>
        <sz val="9"/>
        <color theme="1"/>
        <rFont val="Helvetica-Normal"/>
      </rPr>
      <t xml:space="preserve"> [Hz] and the velocity of the electromagnetic wave </t>
    </r>
    <r>
      <rPr>
        <i/>
        <sz val="9"/>
        <color theme="1"/>
        <rFont val="Helvetica-Normal"/>
      </rPr>
      <t>v</t>
    </r>
    <r>
      <rPr>
        <sz val="9"/>
        <color theme="1"/>
        <rFont val="Helvetica-Normal"/>
      </rPr>
      <t xml:space="preserve"> [m/sec]: </t>
    </r>
    <r>
      <rPr>
        <b/>
        <sz val="9"/>
        <color theme="1"/>
        <rFont val="Helvetica-Normal"/>
      </rPr>
      <t>λ=</t>
    </r>
    <r>
      <rPr>
        <b/>
        <i/>
        <sz val="9"/>
        <color theme="1"/>
        <rFont val="Helvetica-Normal"/>
      </rPr>
      <t>v</t>
    </r>
    <r>
      <rPr>
        <b/>
        <sz val="9"/>
        <color theme="1"/>
        <rFont val="Helvetica-Normal"/>
      </rPr>
      <t>/</t>
    </r>
    <r>
      <rPr>
        <b/>
        <i/>
        <sz val="9"/>
        <color theme="1"/>
        <rFont val="Helvetica-Normal"/>
      </rPr>
      <t>f</t>
    </r>
    <r>
      <rPr>
        <sz val="9"/>
        <color theme="1"/>
        <rFont val="Helvetica-Normal"/>
      </rPr>
      <t>.</t>
    </r>
  </si>
  <si>
    <r>
      <rPr>
        <b/>
        <sz val="9"/>
        <color theme="1"/>
        <rFont val="Helvetica-Normal"/>
      </rPr>
      <t xml:space="preserve">Velocity </t>
    </r>
    <r>
      <rPr>
        <b/>
        <i/>
        <sz val="9"/>
        <color theme="1"/>
        <rFont val="Helvetica-Normal"/>
      </rPr>
      <t>v</t>
    </r>
    <r>
      <rPr>
        <b/>
        <sz val="9"/>
        <color theme="1"/>
        <rFont val="Helvetica-Normal"/>
      </rPr>
      <t xml:space="preserve"> [m/sec]</t>
    </r>
    <r>
      <rPr>
        <sz val="9"/>
        <color theme="1"/>
        <rFont val="Helvetica-Normal"/>
      </rPr>
      <t xml:space="preserve"> is given by the permittivity </t>
    </r>
    <r>
      <rPr>
        <sz val="9"/>
        <color theme="1"/>
        <rFont val="Symbol"/>
        <family val="1"/>
        <charset val="2"/>
      </rPr>
      <t>e</t>
    </r>
    <r>
      <rPr>
        <sz val="9"/>
        <color theme="1"/>
        <rFont val="Helvetica-Normal"/>
      </rPr>
      <t>=</t>
    </r>
    <r>
      <rPr>
        <sz val="9"/>
        <color theme="1"/>
        <rFont val="Symbol"/>
        <family val="1"/>
        <charset val="2"/>
      </rPr>
      <t>e</t>
    </r>
    <r>
      <rPr>
        <vertAlign val="subscript"/>
        <sz val="9"/>
        <color theme="1"/>
        <rFont val="Helvetica-Normal"/>
      </rPr>
      <t>0</t>
    </r>
    <r>
      <rPr>
        <sz val="9"/>
        <color theme="1"/>
        <rFont val="Helvetica-Normal"/>
      </rPr>
      <t>*</t>
    </r>
    <r>
      <rPr>
        <sz val="9"/>
        <color theme="1"/>
        <rFont val="Symbol"/>
        <family val="1"/>
        <charset val="2"/>
      </rPr>
      <t>e</t>
    </r>
    <r>
      <rPr>
        <vertAlign val="subscript"/>
        <sz val="9"/>
        <color theme="1"/>
        <rFont val="Helvetica-Normal"/>
      </rPr>
      <t>r</t>
    </r>
    <r>
      <rPr>
        <sz val="9"/>
        <color theme="1"/>
        <rFont val="Helvetica-Normal"/>
      </rPr>
      <t xml:space="preserve"> and the permeability </t>
    </r>
    <r>
      <rPr>
        <sz val="9"/>
        <color theme="1"/>
        <rFont val="Symbol"/>
        <family val="1"/>
        <charset val="2"/>
      </rPr>
      <t>m</t>
    </r>
    <r>
      <rPr>
        <sz val="9"/>
        <color theme="1"/>
        <rFont val="Helvetica-Normal"/>
      </rPr>
      <t>=</t>
    </r>
    <r>
      <rPr>
        <sz val="9"/>
        <color theme="1"/>
        <rFont val="Symbol"/>
        <family val="1"/>
        <charset val="2"/>
      </rPr>
      <t>m</t>
    </r>
    <r>
      <rPr>
        <vertAlign val="subscript"/>
        <sz val="9"/>
        <color theme="1"/>
        <rFont val="Helvetica-Normal"/>
      </rPr>
      <t>0</t>
    </r>
    <r>
      <rPr>
        <sz val="9"/>
        <color theme="1"/>
        <rFont val="Helvetica-Normal"/>
      </rPr>
      <t>*</t>
    </r>
    <r>
      <rPr>
        <sz val="9"/>
        <color theme="1"/>
        <rFont val="Symbol"/>
        <family val="1"/>
        <charset val="2"/>
      </rPr>
      <t>m</t>
    </r>
    <r>
      <rPr>
        <vertAlign val="subscript"/>
        <sz val="9"/>
        <color theme="1"/>
        <rFont val="Helvetica-Normal"/>
      </rPr>
      <t>r</t>
    </r>
    <r>
      <rPr>
        <sz val="9"/>
        <color theme="1"/>
        <rFont val="Helvetica-Normal"/>
      </rPr>
      <t xml:space="preserve"> of the media(s) througth with the electromagnetic wave travels: </t>
    </r>
    <r>
      <rPr>
        <b/>
        <i/>
        <sz val="9"/>
        <color theme="1"/>
        <rFont val="Helvetica-Normal"/>
      </rPr>
      <t>v</t>
    </r>
    <r>
      <rPr>
        <b/>
        <sz val="9"/>
        <color theme="1"/>
        <rFont val="Helvetica-Normal"/>
      </rPr>
      <t>=1/</t>
    </r>
    <r>
      <rPr>
        <b/>
        <sz val="9"/>
        <color theme="1"/>
        <rFont val="Arial"/>
        <family val="2"/>
      </rPr>
      <t>√</t>
    </r>
    <r>
      <rPr>
        <b/>
        <sz val="9"/>
        <color theme="1"/>
        <rFont val="Helvetica-Normal"/>
      </rPr>
      <t>(e</t>
    </r>
    <r>
      <rPr>
        <b/>
        <vertAlign val="subscript"/>
        <sz val="9"/>
        <color theme="1"/>
        <rFont val="Helvetica-Normal"/>
      </rPr>
      <t>0</t>
    </r>
    <r>
      <rPr>
        <b/>
        <sz val="9"/>
        <color theme="1"/>
        <rFont val="Helvetica-Normal"/>
      </rPr>
      <t>*</t>
    </r>
    <r>
      <rPr>
        <b/>
        <sz val="9"/>
        <color theme="1"/>
        <rFont val="Symbol"/>
        <family val="1"/>
        <charset val="2"/>
      </rPr>
      <t>e</t>
    </r>
    <r>
      <rPr>
        <b/>
        <vertAlign val="subscript"/>
        <sz val="9"/>
        <color theme="1"/>
        <rFont val="Helvetica-Normal"/>
      </rPr>
      <t>r</t>
    </r>
    <r>
      <rPr>
        <b/>
        <sz val="9"/>
        <color theme="1"/>
        <rFont val="Helvetica-Normal"/>
      </rPr>
      <t>*</t>
    </r>
    <r>
      <rPr>
        <b/>
        <sz val="9"/>
        <color theme="1"/>
        <rFont val="Symbol"/>
        <family val="1"/>
        <charset val="2"/>
      </rPr>
      <t>m</t>
    </r>
    <r>
      <rPr>
        <b/>
        <vertAlign val="subscript"/>
        <sz val="9"/>
        <color theme="1"/>
        <rFont val="Helvetica-Normal"/>
      </rPr>
      <t>0</t>
    </r>
    <r>
      <rPr>
        <b/>
        <sz val="9"/>
        <color theme="1"/>
        <rFont val="Helvetica-Normal"/>
      </rPr>
      <t>*</t>
    </r>
    <r>
      <rPr>
        <b/>
        <sz val="9"/>
        <color theme="1"/>
        <rFont val="Symbol"/>
        <family val="1"/>
        <charset val="2"/>
      </rPr>
      <t>m</t>
    </r>
    <r>
      <rPr>
        <b/>
        <vertAlign val="subscript"/>
        <sz val="9"/>
        <color theme="1"/>
        <rFont val="Helvetica-Normal"/>
      </rPr>
      <t>r</t>
    </r>
    <r>
      <rPr>
        <b/>
        <sz val="9"/>
        <color theme="1"/>
        <rFont val="Helvetica-Normal"/>
      </rPr>
      <t>)=</t>
    </r>
    <r>
      <rPr>
        <b/>
        <i/>
        <sz val="9"/>
        <color theme="1"/>
        <rFont val="Helvetica-Normal"/>
      </rPr>
      <t>c</t>
    </r>
    <r>
      <rPr>
        <b/>
        <sz val="9"/>
        <color theme="1"/>
        <rFont val="Helvetica-Normal"/>
      </rPr>
      <t>/</t>
    </r>
    <r>
      <rPr>
        <b/>
        <sz val="9"/>
        <color theme="1"/>
        <rFont val="Arial"/>
        <family val="2"/>
      </rPr>
      <t>√</t>
    </r>
    <r>
      <rPr>
        <b/>
        <sz val="9"/>
        <color theme="1"/>
        <rFont val="Helvetica-Normal"/>
      </rPr>
      <t>(</t>
    </r>
    <r>
      <rPr>
        <b/>
        <sz val="9"/>
        <color theme="1"/>
        <rFont val="Symbol"/>
        <family val="1"/>
        <charset val="2"/>
      </rPr>
      <t>e</t>
    </r>
    <r>
      <rPr>
        <b/>
        <vertAlign val="subscript"/>
        <sz val="9"/>
        <color theme="1"/>
        <rFont val="Helvetica-Normal"/>
      </rPr>
      <t>r</t>
    </r>
    <r>
      <rPr>
        <b/>
        <sz val="9"/>
        <color theme="1"/>
        <rFont val="Helvetica-Normal"/>
      </rPr>
      <t>*</t>
    </r>
    <r>
      <rPr>
        <b/>
        <sz val="9"/>
        <color theme="1"/>
        <rFont val="Symbol"/>
        <family val="1"/>
        <charset val="2"/>
      </rPr>
      <t>m</t>
    </r>
    <r>
      <rPr>
        <b/>
        <vertAlign val="subscript"/>
        <sz val="9"/>
        <color theme="1"/>
        <rFont val="Helvetica-Normal"/>
      </rPr>
      <t>r</t>
    </r>
    <r>
      <rPr>
        <b/>
        <sz val="9"/>
        <color theme="1"/>
        <rFont val="Helvetica-Normal"/>
      </rPr>
      <t>)</t>
    </r>
  </si>
  <si>
    <r>
      <t xml:space="preserve">Relative permittivity </t>
    </r>
    <r>
      <rPr>
        <sz val="9"/>
        <color theme="1"/>
        <rFont val="Symbol"/>
        <family val="1"/>
        <charset val="2"/>
      </rPr>
      <t>e</t>
    </r>
    <r>
      <rPr>
        <vertAlign val="subscript"/>
        <sz val="9"/>
        <color theme="1"/>
        <rFont val="Helvetica-Normal"/>
      </rPr>
      <t>reff</t>
    </r>
  </si>
  <si>
    <r>
      <t xml:space="preserve">Relative permeability </t>
    </r>
    <r>
      <rPr>
        <sz val="9"/>
        <color theme="1"/>
        <rFont val="Symbol"/>
        <family val="1"/>
        <charset val="2"/>
      </rPr>
      <t>m</t>
    </r>
    <r>
      <rPr>
        <vertAlign val="subscript"/>
        <sz val="9"/>
        <color theme="1"/>
        <rFont val="Helvetica-Normal"/>
      </rPr>
      <t>reff</t>
    </r>
  </si>
  <si>
    <r>
      <t xml:space="preserve">Relative (effective) permittivity of media through with electromagnetic field travels. Set </t>
    </r>
    <r>
      <rPr>
        <sz val="9"/>
        <color theme="1"/>
        <rFont val="Symbol"/>
        <family val="1"/>
        <charset val="2"/>
      </rPr>
      <t>e</t>
    </r>
    <r>
      <rPr>
        <vertAlign val="subscript"/>
        <sz val="9"/>
        <color theme="1"/>
        <rFont val="Helvetica-Normal"/>
      </rPr>
      <t>reff</t>
    </r>
    <r>
      <rPr>
        <sz val="9"/>
        <color theme="1"/>
        <rFont val="Helvetica-Normal"/>
      </rPr>
      <t>=1 for air.</t>
    </r>
  </si>
  <si>
    <r>
      <t xml:space="preserve">Relative (effective) permeability of media through with electromagnetic field travels. Set </t>
    </r>
    <r>
      <rPr>
        <sz val="9"/>
        <color theme="1"/>
        <rFont val="Symbol"/>
        <family val="1"/>
        <charset val="2"/>
      </rPr>
      <t>m</t>
    </r>
    <r>
      <rPr>
        <vertAlign val="subscript"/>
        <sz val="9"/>
        <color theme="1"/>
        <rFont val="Helvetica-Normal"/>
      </rPr>
      <t>reff</t>
    </r>
    <r>
      <rPr>
        <sz val="9"/>
        <color theme="1"/>
        <rFont val="Helvetica-Normal"/>
      </rPr>
      <t>=1 for air.</t>
    </r>
  </si>
  <si>
    <r>
      <t xml:space="preserve">Calculation of the wavelength </t>
    </r>
    <r>
      <rPr>
        <i/>
        <sz val="9"/>
        <color theme="1"/>
        <rFont val="Symbol"/>
        <family val="1"/>
        <charset val="2"/>
      </rPr>
      <t>l</t>
    </r>
    <r>
      <rPr>
        <sz val="9"/>
        <color theme="1"/>
        <rFont val="Helvetica-Normal"/>
      </rPr>
      <t xml:space="preserve"> for frequency </t>
    </r>
    <r>
      <rPr>
        <i/>
        <sz val="9"/>
        <color theme="1"/>
        <rFont val="Helvetica-Normal"/>
      </rPr>
      <t>f</t>
    </r>
    <r>
      <rPr>
        <sz val="9"/>
        <color theme="1"/>
        <rFont val="Helvetica-Normal"/>
      </rPr>
      <t xml:space="preserve"> and vice versa of an electromagnetic wave in a media with </t>
    </r>
    <r>
      <rPr>
        <sz val="9"/>
        <color theme="1"/>
        <rFont val="Symbol"/>
        <family val="1"/>
        <charset val="2"/>
      </rPr>
      <t>e</t>
    </r>
    <r>
      <rPr>
        <vertAlign val="subscript"/>
        <sz val="9"/>
        <color theme="1"/>
        <rFont val="Helvetica-Normal"/>
      </rPr>
      <t>reff</t>
    </r>
    <r>
      <rPr>
        <sz val="9"/>
        <color theme="1"/>
        <rFont val="Helvetica-Normal"/>
      </rPr>
      <t xml:space="preserve"> and </t>
    </r>
    <r>
      <rPr>
        <sz val="9"/>
        <color theme="1"/>
        <rFont val="Symbol"/>
        <family val="1"/>
        <charset val="2"/>
      </rPr>
      <t>m</t>
    </r>
    <r>
      <rPr>
        <vertAlign val="subscript"/>
        <sz val="9"/>
        <color theme="1"/>
        <rFont val="Helvetica-Normal"/>
      </rPr>
      <t>reff</t>
    </r>
    <r>
      <rPr>
        <sz val="9"/>
        <color theme="1"/>
        <rFont val="Helvetica-Normal"/>
      </rPr>
      <t>.</t>
    </r>
  </si>
  <si>
    <t>0.299</t>
  </si>
  <si>
    <r>
      <rPr>
        <b/>
        <i/>
        <sz val="9"/>
        <color theme="1"/>
        <rFont val="Symbol"/>
        <family val="1"/>
        <charset val="2"/>
      </rPr>
      <t>l</t>
    </r>
    <r>
      <rPr>
        <b/>
        <sz val="9"/>
        <color theme="1"/>
        <rFont val="Helvetica-Normal"/>
      </rPr>
      <t>/2 [m]</t>
    </r>
  </si>
  <si>
    <r>
      <t xml:space="preserve">Effective Dielectric Constant </t>
    </r>
    <r>
      <rPr>
        <b/>
        <sz val="9"/>
        <color theme="1"/>
        <rFont val="Symbol"/>
        <family val="1"/>
        <charset val="2"/>
      </rPr>
      <t>e</t>
    </r>
    <r>
      <rPr>
        <b/>
        <vertAlign val="subscript"/>
        <sz val="9"/>
        <color theme="1"/>
        <rFont val="Helvetica-Normal"/>
      </rPr>
      <t>reff</t>
    </r>
    <r>
      <rPr>
        <b/>
        <sz val="9"/>
        <color theme="1"/>
        <rFont val="Helvetica-Normal"/>
      </rPr>
      <t xml:space="preserve"> Calculator - Academy of EMC</t>
    </r>
  </si>
  <si>
    <t>References:</t>
  </si>
  <si>
    <t xml:space="preserve">References: </t>
  </si>
  <si>
    <r>
      <t xml:space="preserve">[1] J. L. Norman Violette, Donald R. J. White, Michael F. Violette, </t>
    </r>
    <r>
      <rPr>
        <i/>
        <sz val="9"/>
        <color theme="1"/>
        <rFont val="Helvetica-Normal"/>
      </rPr>
      <t>Electromagnetic Compatibility Handbook</t>
    </r>
    <r>
      <rPr>
        <sz val="9"/>
        <color theme="1"/>
        <rFont val="Helvetica-Normal"/>
      </rPr>
      <t>, Van Norstrand Reinhold Company, 1987, pp.26-29</t>
    </r>
  </si>
  <si>
    <r>
      <t xml:space="preserve">[1] Henry W. Ott, </t>
    </r>
    <r>
      <rPr>
        <i/>
        <sz val="9"/>
        <color theme="1"/>
        <rFont val="Helvetica-Normal"/>
      </rPr>
      <t>Electromagnetic Compatibility Engineering</t>
    </r>
    <r>
      <rPr>
        <sz val="9"/>
        <color theme="1"/>
        <rFont val="Helvetica-Normal"/>
      </rPr>
      <t>, John Wiley &amp; Sons, Inc., 2009, pp. 733-739</t>
    </r>
  </si>
  <si>
    <r>
      <t xml:space="preserve">[1] Constantine A. Balanis, </t>
    </r>
    <r>
      <rPr>
        <i/>
        <sz val="9"/>
        <color theme="1"/>
        <rFont val="Helvetica-Normal"/>
      </rPr>
      <t>Antenna Theory Analysis and Design</t>
    </r>
    <r>
      <rPr>
        <sz val="9"/>
        <color theme="1"/>
        <rFont val="Helvetica-Normal"/>
      </rPr>
      <t>, John Wiley &amp; Sons Inc., 3rd. Edition, 2005, pp. 34-36</t>
    </r>
  </si>
  <si>
    <r>
      <t xml:space="preserve">Source/system impedance </t>
    </r>
    <r>
      <rPr>
        <i/>
        <sz val="9"/>
        <color theme="1"/>
        <rFont val="Helvetica-Normal"/>
      </rPr>
      <t>Z</t>
    </r>
    <r>
      <rPr>
        <vertAlign val="subscript"/>
        <sz val="9"/>
        <color theme="1"/>
        <rFont val="Helvetica-Normal"/>
      </rPr>
      <t>source</t>
    </r>
    <r>
      <rPr>
        <sz val="9"/>
        <color theme="1"/>
        <rFont val="Helvetica-Normal"/>
      </rPr>
      <t xml:space="preserve"> / </t>
    </r>
    <r>
      <rPr>
        <i/>
        <sz val="9"/>
        <color theme="1"/>
        <rFont val="Helvetica-Normal"/>
      </rPr>
      <t>Z</t>
    </r>
    <r>
      <rPr>
        <vertAlign val="subscript"/>
        <sz val="9"/>
        <color theme="1"/>
        <rFont val="Helvetica-Normal"/>
      </rPr>
      <t>0</t>
    </r>
  </si>
  <si>
    <r>
      <t>RL = 10*log</t>
    </r>
    <r>
      <rPr>
        <vertAlign val="subscript"/>
        <sz val="9"/>
        <color theme="1"/>
        <rFont val="Helvetica-Normal"/>
      </rPr>
      <t>10</t>
    </r>
    <r>
      <rPr>
        <sz val="9"/>
        <color theme="1"/>
        <rFont val="Helvetica-Normal"/>
      </rPr>
      <t>(</t>
    </r>
    <r>
      <rPr>
        <i/>
        <sz val="9"/>
        <color theme="1"/>
        <rFont val="Helvetica-Normal"/>
      </rPr>
      <t>P</t>
    </r>
    <r>
      <rPr>
        <vertAlign val="subscript"/>
        <sz val="9"/>
        <color theme="1"/>
        <rFont val="Helvetica-Normal"/>
      </rPr>
      <t>forward</t>
    </r>
    <r>
      <rPr>
        <sz val="9"/>
        <color theme="1"/>
        <rFont val="Helvetica-Normal"/>
      </rPr>
      <t>/</t>
    </r>
    <r>
      <rPr>
        <i/>
        <sz val="9"/>
        <color theme="1"/>
        <rFont val="Helvetica-Normal"/>
      </rPr>
      <t>P</t>
    </r>
    <r>
      <rPr>
        <vertAlign val="subscript"/>
        <sz val="9"/>
        <color theme="1"/>
        <rFont val="Helvetica-Normal"/>
      </rPr>
      <t>reflected</t>
    </r>
    <r>
      <rPr>
        <sz val="9"/>
        <color theme="1"/>
        <rFont val="Helvetica-Normal"/>
      </rPr>
      <t>)</t>
    </r>
  </si>
  <si>
    <r>
      <rPr>
        <i/>
        <sz val="9"/>
        <color theme="1"/>
        <rFont val="Symbol"/>
        <family val="1"/>
        <charset val="2"/>
      </rPr>
      <t>G</t>
    </r>
    <r>
      <rPr>
        <sz val="9"/>
        <color theme="1"/>
        <rFont val="Helvetica-Normal"/>
      </rPr>
      <t xml:space="preserve"> = </t>
    </r>
    <r>
      <rPr>
        <i/>
        <sz val="9"/>
        <color theme="1"/>
        <rFont val="Helvetica-Normal"/>
      </rPr>
      <t>V</t>
    </r>
    <r>
      <rPr>
        <vertAlign val="subscript"/>
        <sz val="9"/>
        <color theme="1"/>
        <rFont val="Helvetica-Normal"/>
      </rPr>
      <t>reflected</t>
    </r>
    <r>
      <rPr>
        <sz val="9"/>
        <color theme="1"/>
        <rFont val="Helvetica-Normal"/>
        <family val="1"/>
        <charset val="2"/>
      </rPr>
      <t>/</t>
    </r>
    <r>
      <rPr>
        <i/>
        <sz val="9"/>
        <color theme="1"/>
        <rFont val="Helvetica-Normal"/>
      </rPr>
      <t>V</t>
    </r>
    <r>
      <rPr>
        <vertAlign val="subscript"/>
        <sz val="9"/>
        <color theme="1"/>
        <rFont val="Helvetica-Normal"/>
      </rPr>
      <t>forward</t>
    </r>
  </si>
  <si>
    <r>
      <t xml:space="preserve">Reflection coefficient </t>
    </r>
    <r>
      <rPr>
        <i/>
        <sz val="9"/>
        <color theme="1"/>
        <rFont val="Symbol"/>
        <family val="1"/>
        <charset val="2"/>
      </rPr>
      <t>G</t>
    </r>
    <r>
      <rPr>
        <sz val="9"/>
        <color theme="1"/>
        <rFont val="Helvetica-Normal"/>
      </rPr>
      <t xml:space="preserve">, </t>
    </r>
    <r>
      <rPr>
        <i/>
        <sz val="9"/>
        <color theme="1"/>
        <rFont val="Helvetica-Normal"/>
      </rPr>
      <t>s</t>
    </r>
    <r>
      <rPr>
        <vertAlign val="subscript"/>
        <sz val="9"/>
        <color theme="1"/>
        <rFont val="Helvetica-Normal"/>
      </rPr>
      <t>11</t>
    </r>
  </si>
  <si>
    <r>
      <t>Typical 50</t>
    </r>
    <r>
      <rPr>
        <sz val="9"/>
        <color theme="1"/>
        <rFont val="Symbol"/>
        <family val="1"/>
        <charset val="2"/>
      </rPr>
      <t>W</t>
    </r>
  </si>
  <si>
    <t>Power Transfer PT</t>
  </si>
  <si>
    <t>Power reflected PR</t>
  </si>
  <si>
    <t>Power
Transfer [%]</t>
  </si>
  <si>
    <r>
      <t xml:space="preserve">Power reflected by load in %. PR = 100% - </t>
    </r>
    <r>
      <rPr>
        <i/>
        <sz val="9"/>
        <color theme="1"/>
        <rFont val="Helvetica-Normal"/>
      </rPr>
      <t>P</t>
    </r>
    <r>
      <rPr>
        <vertAlign val="subscript"/>
        <sz val="9"/>
        <color theme="1"/>
        <rFont val="Helvetica-Normal"/>
      </rPr>
      <t>transferred</t>
    </r>
    <r>
      <rPr>
        <sz val="9"/>
        <color theme="1"/>
        <rFont val="Helvetica-Normal"/>
      </rPr>
      <t xml:space="preserve">. Power transferred to load = </t>
    </r>
    <r>
      <rPr>
        <i/>
        <sz val="9"/>
        <color theme="1"/>
        <rFont val="Helvetica-Normal"/>
      </rPr>
      <t>P</t>
    </r>
    <r>
      <rPr>
        <vertAlign val="subscript"/>
        <sz val="9"/>
        <color theme="1"/>
        <rFont val="Helvetica-Normal"/>
      </rPr>
      <t>source</t>
    </r>
    <r>
      <rPr>
        <sz val="9"/>
        <color theme="1"/>
        <rFont val="Helvetica-Normal"/>
      </rPr>
      <t>*(1</t>
    </r>
    <r>
      <rPr>
        <sz val="9"/>
        <color theme="1"/>
        <rFont val="Arial"/>
        <family val="2"/>
      </rPr>
      <t xml:space="preserve">̶ </t>
    </r>
    <r>
      <rPr>
        <i/>
        <sz val="9"/>
        <color theme="1"/>
        <rFont val="Symbol"/>
        <family val="1"/>
        <charset val="2"/>
      </rPr>
      <t xml:space="preserve">G </t>
    </r>
    <r>
      <rPr>
        <vertAlign val="superscript"/>
        <sz val="9"/>
        <color theme="1"/>
        <rFont val="Helvetica-Normal"/>
      </rPr>
      <t>2</t>
    </r>
    <r>
      <rPr>
        <sz val="9"/>
        <color theme="1"/>
        <rFont val="Helvetica-Normal"/>
      </rPr>
      <t>)</t>
    </r>
  </si>
  <si>
    <r>
      <t>Power dissipated in load in %. PT = 100%/</t>
    </r>
    <r>
      <rPr>
        <i/>
        <sz val="9"/>
        <color theme="1"/>
        <rFont val="Helvetica-Normal"/>
      </rPr>
      <t>P</t>
    </r>
    <r>
      <rPr>
        <vertAlign val="subscript"/>
        <sz val="9"/>
        <color theme="1"/>
        <rFont val="Helvetica-Normal"/>
      </rPr>
      <t>100%Matched</t>
    </r>
    <r>
      <rPr>
        <sz val="9"/>
        <color theme="1"/>
        <rFont val="Helvetica-Normal"/>
      </rPr>
      <t>*</t>
    </r>
    <r>
      <rPr>
        <i/>
        <sz val="9"/>
        <color theme="1"/>
        <rFont val="Helvetica-Normal"/>
      </rPr>
      <t>P</t>
    </r>
    <r>
      <rPr>
        <vertAlign val="subscript"/>
        <sz val="9"/>
        <color theme="1"/>
        <rFont val="Helvetica-Normal"/>
      </rPr>
      <t>unmatched</t>
    </r>
    <r>
      <rPr>
        <sz val="9"/>
        <color theme="1"/>
        <rFont val="Helvetica-Normal"/>
      </rPr>
      <t>. Power reflectec by load = (</t>
    </r>
    <r>
      <rPr>
        <i/>
        <sz val="9"/>
        <color theme="1"/>
        <rFont val="Symbol"/>
        <family val="1"/>
        <charset val="2"/>
      </rPr>
      <t xml:space="preserve">G </t>
    </r>
    <r>
      <rPr>
        <vertAlign val="superscript"/>
        <sz val="9"/>
        <color theme="1"/>
        <rFont val="Helvetica-Normal"/>
      </rPr>
      <t>2</t>
    </r>
    <r>
      <rPr>
        <sz val="9"/>
        <color theme="1"/>
        <rFont val="Helvetica-Normal"/>
      </rPr>
      <t>)*</t>
    </r>
    <r>
      <rPr>
        <i/>
        <sz val="9"/>
        <color theme="1"/>
        <rFont val="Helvetica-Normal"/>
      </rPr>
      <t>P</t>
    </r>
    <r>
      <rPr>
        <vertAlign val="subscript"/>
        <sz val="9"/>
        <color theme="1"/>
        <rFont val="Helvetica-Normal"/>
      </rPr>
      <t>source</t>
    </r>
  </si>
  <si>
    <r>
      <t xml:space="preserve">[1] </t>
    </r>
    <r>
      <rPr>
        <i/>
        <sz val="9"/>
        <color theme="1"/>
        <rFont val="Helvetica-Normal"/>
      </rPr>
      <t>Reference Data for Engineers</t>
    </r>
    <r>
      <rPr>
        <sz val="9"/>
        <color theme="1"/>
        <rFont val="Helvetica-Normal"/>
      </rPr>
      <t>, Newens, 9th Edition, 2002, pages: 12-25, 29-8, 31-2</t>
    </r>
  </si>
  <si>
    <t>2020-Jul-31</t>
  </si>
  <si>
    <r>
      <t xml:space="preserve">[1] Clayton R. Paul. </t>
    </r>
    <r>
      <rPr>
        <i/>
        <sz val="9"/>
        <color theme="1"/>
        <rFont val="Helvetica-Normal"/>
      </rPr>
      <t>Introduction to Electromagnetic Compatibility</t>
    </r>
    <r>
      <rPr>
        <sz val="9"/>
        <color theme="1"/>
        <rFont val="Helvetica-Normal"/>
      </rPr>
      <t>. John Wiley &amp; Sons Inc., 2nd Edition, 2008, pp. 185-186</t>
    </r>
  </si>
  <si>
    <t>2020-July-31</t>
  </si>
  <si>
    <r>
      <rPr>
        <b/>
        <sz val="9"/>
        <color theme="1"/>
        <rFont val="Helvetica-Normal"/>
      </rPr>
      <t xml:space="preserve">The effective dielectric constant </t>
    </r>
    <r>
      <rPr>
        <b/>
        <i/>
        <sz val="9"/>
        <color theme="1"/>
        <rFont val="Helvetica-Normal"/>
      </rPr>
      <t>e</t>
    </r>
    <r>
      <rPr>
        <b/>
        <vertAlign val="subscript"/>
        <sz val="9"/>
        <color theme="1"/>
        <rFont val="Helvetica-Normal"/>
      </rPr>
      <t>reff</t>
    </r>
    <r>
      <rPr>
        <b/>
        <sz val="9"/>
        <color theme="1"/>
        <rFont val="Helvetica-Normal"/>
      </rPr>
      <t xml:space="preserve"> </t>
    </r>
    <r>
      <rPr>
        <sz val="9"/>
        <color theme="1"/>
        <rFont val="Helvetica-Normal"/>
      </rPr>
      <t>is defined as the uniform equivalent dielectric constant for a transmission, even in presence of different dielectrica (e.g. air, FR-4).</t>
    </r>
  </si>
  <si>
    <r>
      <t xml:space="preserve">The effective dielectric constant for </t>
    </r>
    <r>
      <rPr>
        <b/>
        <sz val="9"/>
        <color theme="1"/>
        <rFont val="Helvetica-Normal"/>
      </rPr>
      <t>coaxial</t>
    </r>
    <r>
      <rPr>
        <sz val="9"/>
        <color theme="1"/>
        <rFont val="Helvetica-Normal"/>
      </rPr>
      <t xml:space="preserve"> cables, </t>
    </r>
    <r>
      <rPr>
        <b/>
        <sz val="9"/>
        <color theme="1"/>
        <rFont val="Helvetica-Normal"/>
      </rPr>
      <t>waveguides</t>
    </r>
    <r>
      <rPr>
        <sz val="9"/>
        <color theme="1"/>
        <rFont val="Helvetica-Normal"/>
      </rPr>
      <t xml:space="preserve"> and embedded </t>
    </r>
    <r>
      <rPr>
        <b/>
        <sz val="9"/>
        <color theme="1"/>
        <rFont val="Helvetica-Normal"/>
      </rPr>
      <t>striplines</t>
    </r>
    <r>
      <rPr>
        <sz val="9"/>
        <color theme="1"/>
        <rFont val="Helvetica-Normal"/>
      </rPr>
      <t xml:space="preserve"> is equeal the dielectric constant of the dielectric bulk material.</t>
    </r>
  </si>
  <si>
    <t>Microstrip line</t>
  </si>
  <si>
    <r>
      <t xml:space="preserve">The formulas used here are </t>
    </r>
    <r>
      <rPr>
        <b/>
        <sz val="9"/>
        <color theme="1"/>
        <rFont val="Helvetica-Normal"/>
      </rPr>
      <t>only approximations</t>
    </r>
    <r>
      <rPr>
        <sz val="9"/>
        <color theme="1"/>
        <rFont val="Helvetica-Normal"/>
      </rPr>
      <t xml:space="preserve"> and effects of e.g. trace thickness, solder-mask coverage etc. are ignored. Relative permeability </t>
    </r>
    <r>
      <rPr>
        <sz val="9"/>
        <color theme="1"/>
        <rFont val="Symbol"/>
        <family val="1"/>
        <charset val="2"/>
      </rPr>
      <t>m</t>
    </r>
    <r>
      <rPr>
        <vertAlign val="subscript"/>
        <sz val="9"/>
        <color theme="1"/>
        <rFont val="Helvetica-Normal"/>
      </rPr>
      <t>r</t>
    </r>
    <r>
      <rPr>
        <sz val="9"/>
        <color theme="1"/>
        <rFont val="Helvetica-Normal"/>
      </rPr>
      <t xml:space="preserve"> is assumed to be 1.</t>
    </r>
  </si>
  <si>
    <r>
      <rPr>
        <sz val="9"/>
        <color theme="1"/>
        <rFont val="Symbol"/>
        <family val="1"/>
        <charset val="2"/>
      </rPr>
      <t>m</t>
    </r>
    <r>
      <rPr>
        <vertAlign val="subscript"/>
        <sz val="9"/>
        <color theme="1"/>
        <rFont val="Helvetica-Normal"/>
      </rPr>
      <t>reff</t>
    </r>
    <r>
      <rPr>
        <sz val="9"/>
        <color theme="1"/>
        <rFont val="Helvetica-Normal"/>
      </rPr>
      <t xml:space="preserve"> influences</t>
    </r>
    <r>
      <rPr>
        <i/>
        <sz val="9"/>
        <color theme="1"/>
        <rFont val="Symbol"/>
        <family val="1"/>
        <charset val="2"/>
      </rPr>
      <t xml:space="preserve"> l</t>
    </r>
    <r>
      <rPr>
        <sz val="9"/>
        <color theme="1"/>
        <rFont val="Helvetica-Normal"/>
      </rPr>
      <t>.</t>
    </r>
    <r>
      <rPr>
        <sz val="9"/>
        <color theme="1"/>
        <rFont val="Helvetica-Normal"/>
        <family val="1"/>
        <charset val="2"/>
      </rPr>
      <t xml:space="preserve"> </t>
    </r>
    <r>
      <rPr>
        <sz val="9"/>
        <color theme="1"/>
        <rFont val="Symbol"/>
        <family val="1"/>
        <charset val="2"/>
      </rPr>
      <t>m</t>
    </r>
    <r>
      <rPr>
        <vertAlign val="subscript"/>
        <sz val="9"/>
        <color theme="1"/>
        <rFont val="Helvetica-Normal"/>
      </rPr>
      <t>reff</t>
    </r>
    <r>
      <rPr>
        <sz val="9"/>
        <color theme="1"/>
        <rFont val="Helvetica-Normal"/>
        <family val="1"/>
        <charset val="2"/>
      </rPr>
      <t xml:space="preserve"> is usually 1.</t>
    </r>
  </si>
  <si>
    <r>
      <rPr>
        <sz val="9"/>
        <color theme="1"/>
        <rFont val="Symbol"/>
        <family val="1"/>
        <charset val="2"/>
      </rPr>
      <t>e</t>
    </r>
    <r>
      <rPr>
        <vertAlign val="subscript"/>
        <sz val="9"/>
        <color theme="1"/>
        <rFont val="Helvetica-Normal"/>
      </rPr>
      <t>reff</t>
    </r>
    <r>
      <rPr>
        <sz val="9"/>
        <color theme="1"/>
        <rFont val="Helvetica-Normal"/>
      </rPr>
      <t xml:space="preserve"> influences </t>
    </r>
    <r>
      <rPr>
        <sz val="9"/>
        <color theme="1"/>
        <rFont val="Symbol"/>
        <family val="1"/>
        <charset val="2"/>
      </rPr>
      <t>l</t>
    </r>
    <r>
      <rPr>
        <sz val="9"/>
        <color theme="1"/>
        <rFont val="Helvetica-Normal"/>
      </rPr>
      <t xml:space="preserve">. In case the antenna is a PCB-trace or cable, calculate </t>
    </r>
    <r>
      <rPr>
        <sz val="9"/>
        <color theme="1"/>
        <rFont val="Symbol"/>
        <family val="1"/>
        <charset val="2"/>
      </rPr>
      <t>e</t>
    </r>
    <r>
      <rPr>
        <vertAlign val="subscript"/>
        <sz val="9"/>
        <color theme="1"/>
        <rFont val="Helvetica-Normal"/>
      </rPr>
      <t>reff</t>
    </r>
    <r>
      <rPr>
        <sz val="9"/>
        <color theme="1"/>
        <rFont val="Helvetica-Normal"/>
      </rPr>
      <t xml:space="preserve"> accordingly.</t>
    </r>
  </si>
  <si>
    <t>[mm]</t>
  </si>
  <si>
    <t>Distance between ground/supply reference plane and the trace.</t>
  </si>
  <si>
    <r>
      <t xml:space="preserve">Trace width </t>
    </r>
    <r>
      <rPr>
        <i/>
        <sz val="9"/>
        <color theme="1"/>
        <rFont val="Helvetica-Normal"/>
      </rPr>
      <t>w</t>
    </r>
  </si>
  <si>
    <r>
      <t xml:space="preserve">Height of trace to plane </t>
    </r>
    <r>
      <rPr>
        <i/>
        <sz val="9"/>
        <color theme="1"/>
        <rFont val="Helvetica-Normal"/>
      </rPr>
      <t>h</t>
    </r>
  </si>
  <si>
    <r>
      <t xml:space="preserve">Calculated </t>
    </r>
    <r>
      <rPr>
        <b/>
        <sz val="9"/>
        <color theme="1"/>
        <rFont val="Symbol"/>
        <family val="1"/>
        <charset val="2"/>
      </rPr>
      <t>e</t>
    </r>
    <r>
      <rPr>
        <b/>
        <vertAlign val="subscript"/>
        <sz val="9"/>
        <color theme="1"/>
        <rFont val="Helvetica-Normal"/>
      </rPr>
      <t>reff</t>
    </r>
  </si>
  <si>
    <r>
      <t xml:space="preserve">Effective permittivity </t>
    </r>
    <r>
      <rPr>
        <sz val="9"/>
        <color theme="1"/>
        <rFont val="Symbol"/>
        <family val="1"/>
        <charset val="2"/>
      </rPr>
      <t>e</t>
    </r>
    <r>
      <rPr>
        <vertAlign val="subscript"/>
        <sz val="9"/>
        <color theme="1"/>
        <rFont val="Helvetica-Normal"/>
      </rPr>
      <t>reff</t>
    </r>
  </si>
  <si>
    <t>Stripline</t>
  </si>
  <si>
    <t>Dielectric constant / relative permittivity of the PCB material (substrate).</t>
  </si>
  <si>
    <r>
      <t xml:space="preserve">[1] Brian C. Wadell, </t>
    </r>
    <r>
      <rPr>
        <i/>
        <sz val="9"/>
        <color theme="1"/>
        <rFont val="Helvetica-Normal"/>
      </rPr>
      <t>Transmission line design handbook</t>
    </r>
    <r>
      <rPr>
        <sz val="9"/>
        <color theme="1"/>
        <rFont val="Helvetica-Normal"/>
      </rPr>
      <t>, Artech House Inc., 1991, pp.93-94</t>
    </r>
  </si>
  <si>
    <r>
      <t xml:space="preserve">The effective dielectric constant of a stripline (traced, sandwiched between two reference planes) is equal </t>
    </r>
    <r>
      <rPr>
        <sz val="9"/>
        <rFont val="Symbol"/>
        <family val="1"/>
        <charset val="2"/>
      </rPr>
      <t>e</t>
    </r>
    <r>
      <rPr>
        <vertAlign val="subscript"/>
        <sz val="9"/>
        <rFont val="Helvetica-Normal"/>
      </rPr>
      <t>r</t>
    </r>
    <r>
      <rPr>
        <sz val="9"/>
        <rFont val="Helvetica-Normal"/>
      </rPr>
      <t xml:space="preserve"> of the substrate.</t>
    </r>
  </si>
  <si>
    <t>Coplanar waveguide with reference plane</t>
  </si>
  <si>
    <r>
      <t xml:space="preserve">Space </t>
    </r>
    <r>
      <rPr>
        <i/>
        <sz val="9"/>
        <color theme="1"/>
        <rFont val="Helvetica-Normal"/>
      </rPr>
      <t>s</t>
    </r>
  </si>
  <si>
    <t>Space to the adjusted ground plane on the same layer like the trace.</t>
  </si>
  <si>
    <t>Trace witdth of the trace at the very outside layer (top, bottom) of a PCB.</t>
  </si>
  <si>
    <r>
      <t xml:space="preserve">Trace witdth of the trace at the very outside layer (top, bottom) of a PCB. Use the same unit for </t>
    </r>
    <r>
      <rPr>
        <i/>
        <sz val="9"/>
        <color theme="1"/>
        <rFont val="Helvetica-Normal"/>
      </rPr>
      <t>w</t>
    </r>
    <r>
      <rPr>
        <sz val="9"/>
        <color theme="1"/>
        <rFont val="Helvetica-Normal"/>
      </rPr>
      <t xml:space="preserve"> as for </t>
    </r>
    <r>
      <rPr>
        <i/>
        <sz val="9"/>
        <color theme="1"/>
        <rFont val="Helvetica-Normal"/>
      </rPr>
      <t>h</t>
    </r>
    <r>
      <rPr>
        <sz val="9"/>
        <color theme="1"/>
        <rFont val="Helvetica-Normal"/>
      </rPr>
      <t>.</t>
    </r>
  </si>
  <si>
    <r>
      <t xml:space="preserve">Distance between ground/supply reference plane and the trace. Use the same unit for </t>
    </r>
    <r>
      <rPr>
        <i/>
        <sz val="9"/>
        <color theme="1"/>
        <rFont val="Helvetica-Normal"/>
      </rPr>
      <t>h</t>
    </r>
    <r>
      <rPr>
        <sz val="9"/>
        <color theme="1"/>
        <rFont val="Helvetica-Normal"/>
      </rPr>
      <t xml:space="preserve"> as for </t>
    </r>
    <r>
      <rPr>
        <i/>
        <sz val="9"/>
        <color theme="1"/>
        <rFont val="Helvetica-Normal"/>
      </rPr>
      <t>w</t>
    </r>
    <r>
      <rPr>
        <sz val="9"/>
        <color theme="1"/>
        <rFont val="Helvetica-Normal"/>
      </rPr>
      <t>.</t>
    </r>
  </si>
  <si>
    <r>
      <t xml:space="preserve">Effective dielectric constant of a stripline (traced, sandwiched between two reference planes) is equal </t>
    </r>
    <r>
      <rPr>
        <sz val="9"/>
        <rFont val="Symbol"/>
        <family val="1"/>
        <charset val="2"/>
      </rPr>
      <t>e</t>
    </r>
    <r>
      <rPr>
        <vertAlign val="subscript"/>
        <sz val="9"/>
        <rFont val="Helvetica-Normal"/>
      </rPr>
      <t>r</t>
    </r>
    <r>
      <rPr>
        <sz val="9"/>
        <rFont val="Helvetica-Normal"/>
      </rPr>
      <t xml:space="preserve"> of the substrate [1].</t>
    </r>
  </si>
  <si>
    <r>
      <t xml:space="preserve">Effective dielectric constant. Accurace within 1% for </t>
    </r>
    <r>
      <rPr>
        <sz val="9"/>
        <rFont val="Symbol"/>
        <family val="1"/>
        <charset val="2"/>
      </rPr>
      <t>e</t>
    </r>
    <r>
      <rPr>
        <vertAlign val="subscript"/>
        <sz val="9"/>
        <rFont val="Helvetica-Normal"/>
      </rPr>
      <t>r</t>
    </r>
    <r>
      <rPr>
        <sz val="9"/>
        <rFont val="Arial"/>
        <family val="2"/>
      </rPr>
      <t>≤</t>
    </r>
    <r>
      <rPr>
        <sz val="9"/>
        <rFont val="Helvetica-Normal"/>
      </rPr>
      <t>16, 0.05</t>
    </r>
    <r>
      <rPr>
        <sz val="9"/>
        <rFont val="Arial"/>
        <family val="2"/>
      </rPr>
      <t>≤</t>
    </r>
    <r>
      <rPr>
        <i/>
        <sz val="9"/>
        <rFont val="Helvetica-Normal"/>
      </rPr>
      <t>w</t>
    </r>
    <r>
      <rPr>
        <sz val="9"/>
        <rFont val="Helvetica-Normal"/>
      </rPr>
      <t>/</t>
    </r>
    <r>
      <rPr>
        <i/>
        <sz val="9"/>
        <rFont val="Helvetica-Normal"/>
      </rPr>
      <t>h</t>
    </r>
    <r>
      <rPr>
        <sz val="9"/>
        <rFont val="Arial"/>
        <family val="2"/>
      </rPr>
      <t>≤</t>
    </r>
    <r>
      <rPr>
        <sz val="9"/>
        <rFont val="Helvetica-Normal"/>
      </rPr>
      <t>20 (&lt;2% error for w/h&lt;0.05) [1].</t>
    </r>
  </si>
  <si>
    <r>
      <t xml:space="preserve">[2] M.Riaziat, I.J.Feng, R.Majidi-Ahy and B.A.Auld, </t>
    </r>
    <r>
      <rPr>
        <i/>
        <sz val="9"/>
        <color theme="1"/>
        <rFont val="Helvetica-Normal"/>
      </rPr>
      <t>Single-mode operation of coplanar waveguides</t>
    </r>
    <r>
      <rPr>
        <sz val="9"/>
        <color theme="1"/>
        <rFont val="Helvetica-Normal"/>
      </rPr>
      <t>, Electronic Letters, Vol. 23, No. 24, 19.Nov.1987, pp.1281-1283</t>
    </r>
  </si>
  <si>
    <r>
      <t>Effective dielectric constant of coplanar stripline with reference plane [1]. To avoid microstrip mode, chose (</t>
    </r>
    <r>
      <rPr>
        <i/>
        <sz val="9"/>
        <rFont val="Helvetica-Normal"/>
      </rPr>
      <t>s</t>
    </r>
    <r>
      <rPr>
        <sz val="9"/>
        <rFont val="Helvetica-Normal"/>
      </rPr>
      <t>+</t>
    </r>
    <r>
      <rPr>
        <i/>
        <sz val="9"/>
        <rFont val="Helvetica-Normal"/>
      </rPr>
      <t>w</t>
    </r>
    <r>
      <rPr>
        <sz val="9"/>
        <rFont val="Helvetica-Normal"/>
      </rPr>
      <t>+</t>
    </r>
    <r>
      <rPr>
        <i/>
        <sz val="9"/>
        <rFont val="Helvetica-Normal"/>
      </rPr>
      <t>s</t>
    </r>
    <r>
      <rPr>
        <sz val="9"/>
        <rFont val="Helvetica-Normal"/>
      </rPr>
      <t>)&gt;&gt;</t>
    </r>
    <r>
      <rPr>
        <i/>
        <sz val="9"/>
        <rFont val="Helvetica-Normal"/>
      </rPr>
      <t>h</t>
    </r>
    <r>
      <rPr>
        <sz val="9"/>
        <rFont val="Helvetica-Normal"/>
      </rPr>
      <t xml:space="preserve"> [2].</t>
    </r>
  </si>
  <si>
    <r>
      <t xml:space="preserve">Auxiliary variable </t>
    </r>
    <r>
      <rPr>
        <i/>
        <sz val="9"/>
        <color theme="1"/>
        <rFont val="Helvetica-Normal"/>
      </rPr>
      <t>k</t>
    </r>
  </si>
  <si>
    <r>
      <t xml:space="preserve">Auxiliary variable </t>
    </r>
    <r>
      <rPr>
        <i/>
        <sz val="9"/>
        <color theme="1"/>
        <rFont val="Helvetica-Normal"/>
      </rPr>
      <t>k'</t>
    </r>
  </si>
  <si>
    <r>
      <t xml:space="preserve">Auxiliary variable </t>
    </r>
    <r>
      <rPr>
        <i/>
        <sz val="9"/>
        <color theme="1"/>
        <rFont val="Helvetica-Normal"/>
      </rPr>
      <t>k1</t>
    </r>
  </si>
  <si>
    <r>
      <t xml:space="preserve">Auxiliary variable </t>
    </r>
    <r>
      <rPr>
        <i/>
        <sz val="9"/>
        <color theme="1"/>
        <rFont val="Helvetica-Normal"/>
      </rPr>
      <t>k1'</t>
    </r>
  </si>
  <si>
    <t>Iteration</t>
  </si>
  <si>
    <t>an</t>
  </si>
  <si>
    <t>bn</t>
  </si>
  <si>
    <t>cn</t>
  </si>
  <si>
    <t>K(k) at interation N = n</t>
  </si>
  <si>
    <t>Calculations</t>
  </si>
  <si>
    <t>0.5</t>
  </si>
  <si>
    <t>Dielectric constant / relative permittivity of the wire insulation.</t>
  </si>
  <si>
    <r>
      <t xml:space="preserve">Relative permittivity </t>
    </r>
    <r>
      <rPr>
        <sz val="9"/>
        <color theme="1"/>
        <rFont val="Symbol"/>
        <family val="1"/>
        <charset val="2"/>
      </rPr>
      <t>e</t>
    </r>
    <r>
      <rPr>
        <vertAlign val="subscript"/>
        <sz val="9"/>
        <color theme="1"/>
        <rFont val="Helvetica-Normal"/>
      </rPr>
      <t>r1</t>
    </r>
  </si>
  <si>
    <r>
      <t xml:space="preserve">Relative permittivity </t>
    </r>
    <r>
      <rPr>
        <sz val="9"/>
        <color theme="1"/>
        <rFont val="Symbol"/>
        <family val="1"/>
        <charset val="2"/>
      </rPr>
      <t>e</t>
    </r>
    <r>
      <rPr>
        <vertAlign val="subscript"/>
        <sz val="9"/>
        <color theme="1"/>
        <rFont val="Helvetica-Normal"/>
      </rPr>
      <t>r2</t>
    </r>
  </si>
  <si>
    <t>Material</t>
  </si>
  <si>
    <r>
      <t>Dielectric Constant ε</t>
    </r>
    <r>
      <rPr>
        <b/>
        <vertAlign val="subscript"/>
        <sz val="8"/>
        <color theme="1"/>
        <rFont val="Calibri"/>
        <family val="2"/>
        <scheme val="minor"/>
      </rPr>
      <t>r</t>
    </r>
    <r>
      <rPr>
        <b/>
        <sz val="8"/>
        <color theme="1"/>
        <rFont val="Calibri"/>
        <family val="2"/>
        <scheme val="minor"/>
      </rPr>
      <t xml:space="preserve"> = Permittivity ε</t>
    </r>
    <r>
      <rPr>
        <b/>
        <vertAlign val="subscript"/>
        <sz val="8"/>
        <color theme="1"/>
        <rFont val="Calibri"/>
        <family val="2"/>
        <scheme val="minor"/>
      </rPr>
      <t>r</t>
    </r>
    <r>
      <rPr>
        <b/>
        <sz val="8"/>
        <color theme="1"/>
        <rFont val="Calibri"/>
        <family val="2"/>
        <scheme val="minor"/>
      </rPr>
      <t xml:space="preserve"> [1]</t>
    </r>
  </si>
  <si>
    <t>60Hz</t>
  </si>
  <si>
    <t>1kHz</t>
  </si>
  <si>
    <t>1MHz</t>
  </si>
  <si>
    <t>100MHz</t>
  </si>
  <si>
    <t>3GHz</t>
  </si>
  <si>
    <t>25GHz</t>
  </si>
  <si>
    <t>-</t>
  </si>
  <si>
    <t>Polycarbonate (PC)</t>
  </si>
  <si>
    <t>Polychlorotrifluoroethylene (PCTFE)</t>
  </si>
  <si>
    <t>Polyethylene (PE)</t>
  </si>
  <si>
    <t>Polyethyleneterephthalate (PET)</t>
  </si>
  <si>
    <t>Polyethylmethacrylate (PEMA)</t>
  </si>
  <si>
    <t>Polyhexamethylene-adipamid (nylon)</t>
  </si>
  <si>
    <t>Polyimide (PI)</t>
  </si>
  <si>
    <t>Polyisobutylene (PIB)</t>
  </si>
  <si>
    <t>Polymer 95% vinyl-chloride (PVC), 5% vinyl-acetate</t>
  </si>
  <si>
    <t>Polymethyl methacrylate (PMMA)</t>
  </si>
  <si>
    <t>Polyphenylene oxide (PPE)</t>
  </si>
  <si>
    <t>Polypropylene (PP)</t>
  </si>
  <si>
    <t>Polystyrene (PS)</t>
  </si>
  <si>
    <t>Polytetrafluoroethylene (PTFE, teflon)</t>
  </si>
  <si>
    <t>Polyvinylcyclohexane (PVCH)</t>
  </si>
  <si>
    <t>Polyvinyl formal (PVF)</t>
  </si>
  <si>
    <t>Polyvinylidene fluoride (PVDF)</t>
  </si>
  <si>
    <t>Urea-formaldehyde, cellulose</t>
  </si>
  <si>
    <t>Urethane elastomer (PUR)</t>
  </si>
  <si>
    <t>6,7-7,5</t>
  </si>
  <si>
    <t>6,5-7,1</t>
  </si>
  <si>
    <t>Vinylidene-vinyl chloride copolymer (PVDC)</t>
  </si>
  <si>
    <t>100% aniline-formaldehyde (Dilecteue-100)</t>
  </si>
  <si>
    <t>100% phenol-formaldehyde</t>
  </si>
  <si>
    <t>100% polyvinyl-chloride (PVC)</t>
  </si>
  <si>
    <r>
      <t xml:space="preserve">Dielectric Constants </t>
    </r>
    <r>
      <rPr>
        <b/>
        <sz val="9"/>
        <color theme="1"/>
        <rFont val="Symbol"/>
        <family val="1"/>
        <charset val="2"/>
      </rPr>
      <t>e</t>
    </r>
    <r>
      <rPr>
        <b/>
        <vertAlign val="subscript"/>
        <sz val="9"/>
        <color theme="1"/>
        <rFont val="Helvetica-Normal"/>
      </rPr>
      <t>r</t>
    </r>
    <r>
      <rPr>
        <b/>
        <sz val="9"/>
        <color theme="1"/>
        <rFont val="Helvetica-Normal"/>
      </rPr>
      <t xml:space="preserve">  of common insulation material - Academy of EMC</t>
    </r>
  </si>
  <si>
    <r>
      <t xml:space="preserve">Dielectric constant / relative permittivity of the surrounding of the twisted pair. In case of air, set </t>
    </r>
    <r>
      <rPr>
        <sz val="9"/>
        <color theme="1"/>
        <rFont val="Symbol"/>
        <family val="1"/>
        <charset val="2"/>
      </rPr>
      <t>e</t>
    </r>
    <r>
      <rPr>
        <vertAlign val="subscript"/>
        <sz val="9"/>
        <color theme="1"/>
        <rFont val="Helvetica-Normal"/>
      </rPr>
      <t>r2</t>
    </r>
    <r>
      <rPr>
        <sz val="9"/>
        <color theme="1"/>
        <rFont val="Helvetica-Normal"/>
      </rPr>
      <t xml:space="preserve"> = 1.</t>
    </r>
  </si>
  <si>
    <r>
      <t xml:space="preserve">Diameter of wire </t>
    </r>
    <r>
      <rPr>
        <i/>
        <sz val="9"/>
        <color theme="1"/>
        <rFont val="Helvetica-Normal"/>
      </rPr>
      <t>D</t>
    </r>
  </si>
  <si>
    <r>
      <t xml:space="preserve">Twists </t>
    </r>
    <r>
      <rPr>
        <i/>
        <sz val="9"/>
        <color theme="1"/>
        <rFont val="Helvetica-Normal"/>
      </rPr>
      <t>T</t>
    </r>
    <r>
      <rPr>
        <sz val="9"/>
        <color theme="1"/>
        <rFont val="Helvetica-Normal"/>
      </rPr>
      <t xml:space="preserve"> per [m]</t>
    </r>
  </si>
  <si>
    <r>
      <t xml:space="preserve">Diameter of a single wire of the twisted pair. Use the same unit for the diameter </t>
    </r>
    <r>
      <rPr>
        <i/>
        <sz val="9"/>
        <color theme="1"/>
        <rFont val="Helvetica-Normal"/>
      </rPr>
      <t>D</t>
    </r>
    <r>
      <rPr>
        <sz val="9"/>
        <color theme="1"/>
        <rFont val="Helvetica-Normal"/>
      </rPr>
      <t xml:space="preserve"> as for twists </t>
    </r>
    <r>
      <rPr>
        <i/>
        <sz val="9"/>
        <color theme="1"/>
        <rFont val="Helvetica-Normal"/>
      </rPr>
      <t xml:space="preserve">T </t>
    </r>
    <r>
      <rPr>
        <sz val="9"/>
        <color theme="1"/>
        <rFont val="Helvetica-Normal"/>
      </rPr>
      <t>per unit length.</t>
    </r>
  </si>
  <si>
    <t>0.002</t>
  </si>
  <si>
    <r>
      <t xml:space="preserve">Twists per meter [m]. If you set the number of twists not per [m] but e.g. per [cm], you have to use [cm] as unit for diameter </t>
    </r>
    <r>
      <rPr>
        <i/>
        <sz val="9"/>
        <color theme="1"/>
        <rFont val="Helvetica-Normal"/>
      </rPr>
      <t>D</t>
    </r>
    <r>
      <rPr>
        <sz val="9"/>
        <color theme="1"/>
        <rFont val="Helvetica-Normal"/>
      </rPr>
      <t>.</t>
    </r>
  </si>
  <si>
    <r>
      <t xml:space="preserve">[1] </t>
    </r>
    <r>
      <rPr>
        <i/>
        <sz val="9"/>
        <color theme="1"/>
        <rFont val="Helvetica-Normal"/>
      </rPr>
      <t>Reference Data for Engineers</t>
    </r>
    <r>
      <rPr>
        <sz val="9"/>
        <color theme="1"/>
        <rFont val="Helvetica-Normal"/>
      </rPr>
      <t>, Newens, 9th Edition, 2002, pages: 4-40 to 4-23</t>
    </r>
  </si>
  <si>
    <r>
      <t xml:space="preserve">Dielectric constant / relative permittivity of the surrounding of the twisted pair. In case of air (e.g. for ribbon cable), set </t>
    </r>
    <r>
      <rPr>
        <sz val="9"/>
        <color theme="1"/>
        <rFont val="Symbol"/>
        <family val="1"/>
        <charset val="2"/>
      </rPr>
      <t>e</t>
    </r>
    <r>
      <rPr>
        <vertAlign val="subscript"/>
        <sz val="9"/>
        <color theme="1"/>
        <rFont val="Helvetica-Normal"/>
      </rPr>
      <t>r2</t>
    </r>
    <r>
      <rPr>
        <sz val="9"/>
        <color theme="1"/>
        <rFont val="Helvetica-Normal"/>
      </rPr>
      <t xml:space="preserve"> = 1.</t>
    </r>
  </si>
  <si>
    <t>Parallel wires / Ribbon cable</t>
  </si>
  <si>
    <t>Twisted pair / Twisted pair cable</t>
  </si>
  <si>
    <t>4.5</t>
  </si>
  <si>
    <t>0.3</t>
  </si>
  <si>
    <t>1.00.00.2021</t>
  </si>
  <si>
    <r>
      <t xml:space="preserve">[1] Clayton R. Paul. </t>
    </r>
    <r>
      <rPr>
        <i/>
        <sz val="9"/>
        <color theme="1"/>
        <rFont val="Helvetica-Normal"/>
      </rPr>
      <t>Introduction to electromagnetic compatibility</t>
    </r>
    <r>
      <rPr>
        <sz val="9"/>
        <color theme="1"/>
        <rFont val="Helvetica-Normal"/>
      </rPr>
      <t>. John Wiley &amp; Sons Inc., 2nd Edition, 2008, p. 273</t>
    </r>
  </si>
  <si>
    <r>
      <t xml:space="preserve">Current density </t>
    </r>
    <r>
      <rPr>
        <i/>
        <sz val="9"/>
        <color theme="1"/>
        <rFont val="Helvetica-Normal"/>
      </rPr>
      <t>J</t>
    </r>
  </si>
  <si>
    <r>
      <t>[A/m</t>
    </r>
    <r>
      <rPr>
        <vertAlign val="superscript"/>
        <sz val="9"/>
        <color theme="1"/>
        <rFont val="Helvetica-Normal"/>
      </rPr>
      <t>2</t>
    </r>
    <r>
      <rPr>
        <sz val="9"/>
        <color theme="1"/>
        <rFont val="Helvetica-Normal"/>
      </rPr>
      <t>]</t>
    </r>
  </si>
  <si>
    <r>
      <t xml:space="preserve">Electric field </t>
    </r>
    <r>
      <rPr>
        <i/>
        <sz val="9"/>
        <color theme="1"/>
        <rFont val="Helvetica-Normal"/>
      </rPr>
      <t>E</t>
    </r>
  </si>
  <si>
    <r>
      <t xml:space="preserve">Magnetic field </t>
    </r>
    <r>
      <rPr>
        <i/>
        <sz val="9"/>
        <color theme="1"/>
        <rFont val="Helvetica-Normal"/>
      </rPr>
      <t>H</t>
    </r>
  </si>
  <si>
    <r>
      <t xml:space="preserve">Distance </t>
    </r>
    <r>
      <rPr>
        <i/>
        <sz val="9"/>
        <color theme="1"/>
        <rFont val="Helvetica-Normal"/>
      </rPr>
      <t>d</t>
    </r>
  </si>
  <si>
    <r>
      <t xml:space="preserve">Skin depth </t>
    </r>
    <r>
      <rPr>
        <i/>
        <sz val="9"/>
        <color theme="1"/>
        <rFont val="Symbol"/>
        <family val="1"/>
        <charset val="2"/>
      </rPr>
      <t>d</t>
    </r>
  </si>
  <si>
    <r>
      <t xml:space="preserve">Concuctivity </t>
    </r>
    <r>
      <rPr>
        <sz val="9"/>
        <color theme="1"/>
        <rFont val="Symbol"/>
        <family val="1"/>
        <charset val="2"/>
      </rPr>
      <t>s</t>
    </r>
  </si>
  <si>
    <t>[S/m]</t>
  </si>
  <si>
    <t>5.8e7</t>
  </si>
  <si>
    <t>Specific conductivity [S/m] of the conductor or shield.</t>
  </si>
  <si>
    <t>Relative permeability of conductor or shield.</t>
  </si>
  <si>
    <r>
      <t xml:space="preserve">Diameter </t>
    </r>
    <r>
      <rPr>
        <i/>
        <sz val="9"/>
        <color theme="1"/>
        <rFont val="Helvetica-Normal"/>
      </rPr>
      <t>D</t>
    </r>
  </si>
  <si>
    <t>Frequency</t>
  </si>
  <si>
    <t>Relative permittivity (dielectric constant) of conductor or shield.</t>
  </si>
  <si>
    <t>[um]</t>
  </si>
  <si>
    <t>Skin depth</t>
  </si>
  <si>
    <t>[2] Clayton R. Paul. Introduction to electromagnetic compatibility. John Wiley &amp; Sons Inc., 2nd Edition, 2008, pp. 925-926</t>
  </si>
  <si>
    <r>
      <t xml:space="preserve">Initial
Magnetic
Permeability
</t>
    </r>
    <r>
      <rPr>
        <b/>
        <sz val="12"/>
        <color theme="1"/>
        <rFont val="Symbol"/>
        <family val="1"/>
        <charset val="2"/>
      </rPr>
      <t>m</t>
    </r>
    <r>
      <rPr>
        <b/>
        <vertAlign val="subscript"/>
        <sz val="12"/>
        <color theme="1"/>
        <rFont val="Calibri"/>
        <family val="2"/>
        <scheme val="minor"/>
      </rPr>
      <t>ri</t>
    </r>
    <r>
      <rPr>
        <b/>
        <sz val="12"/>
        <color theme="1"/>
        <rFont val="Calibri"/>
        <family val="2"/>
        <scheme val="minor"/>
      </rPr>
      <t xml:space="preserve">  [1]</t>
    </r>
  </si>
  <si>
    <r>
      <t xml:space="preserve">Maximum
Magnetic
Permeability
</t>
    </r>
    <r>
      <rPr>
        <b/>
        <sz val="12"/>
        <color theme="1"/>
        <rFont val="Symbol"/>
        <family val="1"/>
        <charset val="2"/>
      </rPr>
      <t>m</t>
    </r>
    <r>
      <rPr>
        <b/>
        <vertAlign val="subscript"/>
        <sz val="12"/>
        <color theme="1"/>
        <rFont val="Calibri"/>
        <family val="2"/>
        <scheme val="minor"/>
      </rPr>
      <t>rm</t>
    </r>
    <r>
      <rPr>
        <b/>
        <sz val="12"/>
        <color theme="1"/>
        <rFont val="Calibri"/>
        <family val="2"/>
        <scheme val="minor"/>
      </rPr>
      <t xml:space="preserve">  [1]</t>
    </r>
  </si>
  <si>
    <r>
      <t>Coercivity
H</t>
    </r>
    <r>
      <rPr>
        <b/>
        <vertAlign val="subscript"/>
        <sz val="12"/>
        <color theme="1"/>
        <rFont val="Calibri"/>
        <family val="2"/>
        <scheme val="minor"/>
      </rPr>
      <t>c</t>
    </r>
    <r>
      <rPr>
        <b/>
        <sz val="12"/>
        <color theme="1"/>
        <rFont val="Calibri"/>
        <family val="2"/>
        <scheme val="minor"/>
      </rPr>
      <t xml:space="preserve"> [A/m]</t>
    </r>
  </si>
  <si>
    <r>
      <t>Retentivity
B</t>
    </r>
    <r>
      <rPr>
        <b/>
        <vertAlign val="subscript"/>
        <sz val="12"/>
        <color theme="1"/>
        <rFont val="Calibri"/>
        <family val="2"/>
        <scheme val="minor"/>
      </rPr>
      <t>r</t>
    </r>
    <r>
      <rPr>
        <b/>
        <sz val="12"/>
        <color theme="1"/>
        <rFont val="Calibri"/>
        <family val="2"/>
        <scheme val="minor"/>
      </rPr>
      <t xml:space="preserve"> [T]</t>
    </r>
  </si>
  <si>
    <r>
      <t>B</t>
    </r>
    <r>
      <rPr>
        <b/>
        <vertAlign val="subscript"/>
        <sz val="12"/>
        <color theme="1"/>
        <rFont val="Calibri"/>
        <family val="2"/>
        <scheme val="minor"/>
      </rPr>
      <t>max</t>
    </r>
    <r>
      <rPr>
        <b/>
        <sz val="12"/>
        <color theme="1"/>
        <rFont val="Calibri"/>
        <family val="2"/>
        <scheme val="minor"/>
      </rPr>
      <t xml:space="preserve"> [T]</t>
    </r>
  </si>
  <si>
    <t>Electrical
Resistance
ϱ [Ωm]</t>
  </si>
  <si>
    <r>
      <t xml:space="preserve">Electrical
Conductivity
</t>
    </r>
    <r>
      <rPr>
        <b/>
        <sz val="12"/>
        <color theme="1"/>
        <rFont val="Symbol"/>
        <family val="1"/>
        <charset val="2"/>
      </rPr>
      <t>s</t>
    </r>
    <r>
      <rPr>
        <b/>
        <sz val="12"/>
        <color theme="1"/>
        <rFont val="Calibri"/>
        <family val="2"/>
        <scheme val="minor"/>
      </rPr>
      <t xml:space="preserve"> [S/m]</t>
    </r>
  </si>
  <si>
    <r>
      <t xml:space="preserve">Relative
conductiviy
to copper
</t>
    </r>
    <r>
      <rPr>
        <b/>
        <sz val="12"/>
        <color theme="1"/>
        <rFont val="Symbol"/>
        <family val="1"/>
        <charset val="2"/>
      </rPr>
      <t>s</t>
    </r>
    <r>
      <rPr>
        <b/>
        <vertAlign val="subscript"/>
        <sz val="12"/>
        <color theme="1"/>
        <rFont val="Calibri"/>
        <family val="2"/>
        <scheme val="minor"/>
      </rPr>
      <t>r</t>
    </r>
    <r>
      <rPr>
        <b/>
        <sz val="12"/>
        <color theme="1"/>
        <rFont val="Calibri"/>
        <family val="2"/>
        <scheme val="minor"/>
      </rPr>
      <t xml:space="preserve"> [1]</t>
    </r>
  </si>
  <si>
    <t>Source</t>
  </si>
  <si>
    <t>Aluminum (Al)</t>
  </si>
  <si>
    <t>1,000 020 8</t>
  </si>
  <si>
    <t>--</t>
  </si>
  <si>
    <t>Taschenbuch Physik, Horst Kuchling, 17. Edition, 2001</t>
  </si>
  <si>
    <t>Reference Data For Engineers, 9. Edition, 2002</t>
  </si>
  <si>
    <t>Barium (Ba)</t>
  </si>
  <si>
    <t>1,000 006 94</t>
  </si>
  <si>
    <t>Beryllium (Be)</t>
  </si>
  <si>
    <t>1,000 000 79</t>
  </si>
  <si>
    <t>Engineering Electromagnetics, William H Hayt Jr., 5. edition, 1988</t>
  </si>
  <si>
    <t>Reference data for engineers, 9. edition, 2002</t>
  </si>
  <si>
    <t>Bismuth (Bi)</t>
  </si>
  <si>
    <t>0,999 843 2</t>
  </si>
  <si>
    <t>Brass (66Cu 34Zn)</t>
  </si>
  <si>
    <r>
      <rPr>
        <sz val="12"/>
        <color theme="1"/>
        <rFont val="Calibri"/>
        <family val="2"/>
      </rPr>
      <t>≈</t>
    </r>
    <r>
      <rPr>
        <sz val="11"/>
        <color theme="1"/>
        <rFont val="Calibri"/>
        <family val="2"/>
        <scheme val="minor"/>
      </rPr>
      <t>1</t>
    </r>
  </si>
  <si>
    <t>Bronze (4Sn 0.5P, balance Cu)</t>
  </si>
  <si>
    <t>≈1</t>
  </si>
  <si>
    <t>Cadmium (Cd)</t>
  </si>
  <si>
    <t>Chromium (Cr)</t>
  </si>
  <si>
    <t>1,000 278</t>
  </si>
  <si>
    <t>Cobalt (Co)</t>
  </si>
  <si>
    <t>Copper (Cu)</t>
  </si>
  <si>
    <t>0,999 990 4</t>
  </si>
  <si>
    <t>Ferrite core (MnZn), typical, f&lt;1MHz</t>
  </si>
  <si>
    <t>1 000…20 000</t>
  </si>
  <si>
    <t>0.1…25</t>
  </si>
  <si>
    <t>0,04…10</t>
  </si>
  <si>
    <t>Ferrite core (NiZn), typical, f&lt;100MHz</t>
  </si>
  <si>
    <t>15…300</t>
  </si>
  <si>
    <t>1…20E+05</t>
  </si>
  <si>
    <t>0,05E-05…1E-05</t>
  </si>
  <si>
    <t>Gold (Au)</t>
  </si>
  <si>
    <t>0,999 999 81</t>
  </si>
  <si>
    <t>http://www.kayelaby.npl.co.uk/general_physics/2_6/2_6_6.html</t>
  </si>
  <si>
    <t>Hypernik (50Fe 50Ni)</t>
  </si>
  <si>
    <t>Table 2.2</t>
  </si>
  <si>
    <t>Iron (99,8Fe), ingot</t>
  </si>
  <si>
    <t>Iron (97Fe 3Si), unoriented</t>
  </si>
  <si>
    <t>Iron (97Fe 3Si), grain oriented</t>
  </si>
  <si>
    <t>Lead (Pb)</t>
  </si>
  <si>
    <t>0,999 999 85</t>
  </si>
  <si>
    <t>Magnesium (Mg)</t>
  </si>
  <si>
    <t>1 ,000 017 4</t>
  </si>
  <si>
    <t>Metglas 2605SC (81Fe 13B 3,5Si 2C)</t>
  </si>
  <si>
    <t>Metglas 2605S-3 (79Fe 16B 5Si)</t>
  </si>
  <si>
    <t>Mild steel (0,2-0,4C)</t>
  </si>
  <si>
    <t>Mumetal (77Ni 16Fe 5Cu 2Cr)</t>
  </si>
  <si>
    <t>Catalog mU-2 ©2012 MAGNETIC SHIELD CORPORATION</t>
  </si>
  <si>
    <t>Nickel (Ni)</t>
  </si>
  <si>
    <t>Nickel Iron Alloy 4750 (48Ni 52Fe)</t>
  </si>
  <si>
    <t>Permalloy 4-79 (79Ni 4Mo 17Fe)</t>
  </si>
  <si>
    <t>Permendur (50Fe 50Co)</t>
  </si>
  <si>
    <t>Permendur 2V (49Co 51Fe 2V)</t>
  </si>
  <si>
    <t>Platinum (Pt)</t>
  </si>
  <si>
    <t>1 ,000 257</t>
  </si>
  <si>
    <t>Sendust (85Fe 10Si 5Al), magn. powder</t>
  </si>
  <si>
    <t>Silver (Ag)</t>
  </si>
  <si>
    <t>Engineering Electromagnetics, William H. Hayt, 1988</t>
  </si>
  <si>
    <t>Stainless steel (302, 304)</t>
  </si>
  <si>
    <t>1.003…5</t>
  </si>
  <si>
    <t>https://www.cartech.com/en/alloy-techzone/technical-information/technical-articles/magnetic-properties-of-stainless-steels</t>
  </si>
  <si>
    <t>Compiled by the Collaboration for NDT Education, March 2002</t>
  </si>
  <si>
    <t>https://www.nde-ed.org/GeneralResources/MaterialProperties/ET/Conductivity_Iron.pdf</t>
  </si>
  <si>
    <t>Stainless steel (316)</t>
  </si>
  <si>
    <t>1.003…1.01</t>
  </si>
  <si>
    <t>Stainless steel (410)</t>
  </si>
  <si>
    <t>Stainless steel (430)</t>
  </si>
  <si>
    <t>Steel (SAE 1045)</t>
  </si>
  <si>
    <t>Electromagnetic Compatibility Engineering, Henry W. Ott, 2009</t>
  </si>
  <si>
    <t>Steel low carbon (99,5Fe)</t>
  </si>
  <si>
    <t>Supermalloy (80Ni 5Mo 15Fe)</t>
  </si>
  <si>
    <t>Supermendur (49Co 2V 49Fe)</t>
  </si>
  <si>
    <t>Titanium (Ti)</t>
  </si>
  <si>
    <t>1,000 18</t>
  </si>
  <si>
    <t>Tin (Sn)</t>
  </si>
  <si>
    <t>Tungsten (W)</t>
  </si>
  <si>
    <t>Waster, distilled</t>
  </si>
  <si>
    <t>0,999 990 97</t>
  </si>
  <si>
    <t>Wood, dry</t>
  </si>
  <si>
    <t>0,999 999 5</t>
  </si>
  <si>
    <t>1E+09…1E+13</t>
  </si>
  <si>
    <t>1E-13…1E-09</t>
  </si>
  <si>
    <t>Zinc (Zn)</t>
  </si>
  <si>
    <t>0,999 975 93</t>
  </si>
  <si>
    <r>
      <t>Disspation Factor = Loss Tangent tan(</t>
    </r>
    <r>
      <rPr>
        <b/>
        <sz val="8"/>
        <color theme="1"/>
        <rFont val="Symbol"/>
        <family val="1"/>
        <charset val="2"/>
      </rPr>
      <t>d</t>
    </r>
    <r>
      <rPr>
        <b/>
        <sz val="8"/>
        <color theme="1"/>
        <rFont val="Calibri"/>
        <family val="2"/>
        <scheme val="minor"/>
      </rPr>
      <t xml:space="preserve">) [1]
whereas the Loss Angle </t>
    </r>
    <r>
      <rPr>
        <b/>
        <sz val="8"/>
        <color theme="1"/>
        <rFont val="Symbol"/>
        <family val="1"/>
        <charset val="2"/>
      </rPr>
      <t>d</t>
    </r>
    <r>
      <rPr>
        <b/>
        <sz val="8"/>
        <color theme="1"/>
        <rFont val="Calibri"/>
        <family val="2"/>
        <scheme val="minor"/>
      </rPr>
      <t xml:space="preserve"> = </t>
    </r>
    <r>
      <rPr>
        <b/>
        <sz val="8"/>
        <color theme="1"/>
        <rFont val="Symbol"/>
        <family val="1"/>
        <charset val="2"/>
      </rPr>
      <t>s</t>
    </r>
    <r>
      <rPr>
        <b/>
        <sz val="8"/>
        <color theme="1"/>
        <rFont val="Calibri"/>
        <family val="2"/>
        <scheme val="minor"/>
      </rPr>
      <t>/(</t>
    </r>
    <r>
      <rPr>
        <b/>
        <sz val="8"/>
        <color theme="1"/>
        <rFont val="Symbol"/>
        <family val="1"/>
        <charset val="2"/>
      </rPr>
      <t>ew</t>
    </r>
    <r>
      <rPr>
        <b/>
        <sz val="8"/>
        <color theme="1"/>
        <rFont val="Calibri"/>
        <family val="2"/>
        <scheme val="minor"/>
      </rPr>
      <t>) [1]</t>
    </r>
  </si>
  <si>
    <t>Ceramics:</t>
  </si>
  <si>
    <t>Aluminum oxide</t>
  </si>
  <si>
    <t>Barium titanate</t>
  </si>
  <si>
    <t>Calcium titanate</t>
  </si>
  <si>
    <t>Magnesium oxide</t>
  </si>
  <si>
    <t>&lt;0,0003</t>
  </si>
  <si>
    <t>Magnesium silicate</t>
  </si>
  <si>
    <t>Magnesium titanate</t>
  </si>
  <si>
    <t>Oxides of Al, Si, Mg, Ca, Ba</t>
  </si>
  <si>
    <t>Porcelain (dry process)</t>
  </si>
  <si>
    <t>Steatite 410</t>
  </si>
  <si>
    <t>Strontium titanate</t>
  </si>
  <si>
    <t>Titanium dioxide (rutile)</t>
  </si>
  <si>
    <t>Glasses:</t>
  </si>
  <si>
    <t>Iron-sealing glass</t>
  </si>
  <si>
    <t>Soda-borosilicate</t>
  </si>
  <si>
    <t>100% silicon dioxide (fused quartz)</t>
  </si>
  <si>
    <t>Plastics:</t>
  </si>
  <si>
    <t>Alkyd resin</t>
  </si>
  <si>
    <t>Cellulose acetate-butyrate, plasticized</t>
  </si>
  <si>
    <r>
      <t xml:space="preserve">Cresylic acid-formaldehyde, 50% </t>
    </r>
    <r>
      <rPr>
        <sz val="8"/>
        <color theme="1"/>
        <rFont val="Symbol"/>
        <family val="1"/>
        <charset val="2"/>
      </rPr>
      <t>a</t>
    </r>
    <r>
      <rPr>
        <sz val="8"/>
        <color theme="1"/>
        <rFont val="Calibri"/>
        <family val="2"/>
        <scheme val="minor"/>
      </rPr>
      <t>-cellulose</t>
    </r>
  </si>
  <si>
    <t>Cross-linked polystyrene</t>
  </si>
  <si>
    <t>Epoxy resin (Araldite CN-501)</t>
  </si>
  <si>
    <t>Epoxy resin (Epon resin RN-48)</t>
  </si>
  <si>
    <t>Foamed polystyrene, 0.25% filler</t>
  </si>
  <si>
    <t>&lt;0,0002</t>
  </si>
  <si>
    <t>&lt;0,0001</t>
  </si>
  <si>
    <r>
      <t xml:space="preserve">Melamine-formaldehyde, </t>
    </r>
    <r>
      <rPr>
        <sz val="8"/>
        <color theme="1"/>
        <rFont val="Symbol"/>
        <family val="1"/>
        <charset val="2"/>
      </rPr>
      <t>a</t>
    </r>
    <r>
      <rPr>
        <sz val="8"/>
        <color theme="1"/>
        <rFont val="Calibri"/>
        <family val="2"/>
        <scheme val="minor"/>
      </rPr>
      <t>-cellulose</t>
    </r>
  </si>
  <si>
    <t>Melamine-formaldehyde, 55% filler</t>
  </si>
  <si>
    <t>Phenol-formaldehyde (Bakelite BM 120)</t>
  </si>
  <si>
    <t>Phenol-formaldehyde, 50% paperlaminate</t>
  </si>
  <si>
    <t>Phenol-formaldehyde, 65% mica, 4% lubricants</t>
  </si>
  <si>
    <t>&lt;0,0005</t>
  </si>
  <si>
    <t>&lt;0,00005</t>
  </si>
  <si>
    <t>Organic Liquids:</t>
  </si>
  <si>
    <t>Aviation gasoline (100 octane)</t>
  </si>
  <si>
    <t>Benzene (pure, dried)</t>
  </si>
  <si>
    <t>Carbon tetrachloride (freon 10)</t>
  </si>
  <si>
    <t>&lt;0,00004</t>
  </si>
  <si>
    <t>Ethyl alcohol (absolute)</t>
  </si>
  <si>
    <t>Ethylene glycol</t>
  </si>
  <si>
    <t>Jet fuel (P-3)</t>
  </si>
  <si>
    <t>Methyl alcohol (absolute analytical grade)</t>
  </si>
  <si>
    <t>Methyl or ethyl siloxane polymer (1000 cs)</t>
  </si>
  <si>
    <t>Monomeric styrene</t>
  </si>
  <si>
    <t>Transil oil</t>
  </si>
  <si>
    <t>&lt;0,00001</t>
  </si>
  <si>
    <t>Vaseline</t>
  </si>
  <si>
    <t>&lt;0,0004</t>
  </si>
  <si>
    <t>Waxes:</t>
  </si>
  <si>
    <t>Beeswax, yellow</t>
  </si>
  <si>
    <t>Dichloronaphthalenes</t>
  </si>
  <si>
    <t>Polybutene (PB)</t>
  </si>
  <si>
    <t>Vegetable and mineral waxes</t>
  </si>
  <si>
    <t>Rubbers:</t>
  </si>
  <si>
    <t>Butyl rubber</t>
  </si>
  <si>
    <t>GR-S rubber</t>
  </si>
  <si>
    <t>Gutta-percha</t>
  </si>
  <si>
    <t>Hevea rubber (pale crepe)</t>
  </si>
  <si>
    <t xml:space="preserve">Hevea rubber, vulcanized </t>
  </si>
  <si>
    <t>Neoprene rubber (Polychloroprene)</t>
  </si>
  <si>
    <t>Organic polysulfide, fillers</t>
  </si>
  <si>
    <t>Silicone-rubber compound</t>
  </si>
  <si>
    <t>Woods:</t>
  </si>
  <si>
    <t>Balsa wood</t>
  </si>
  <si>
    <t>Douglas fir</t>
  </si>
  <si>
    <t>Douglas fir, plywood</t>
  </si>
  <si>
    <t>Mahogany</t>
  </si>
  <si>
    <t>Yellow birch</t>
  </si>
  <si>
    <t>Yellow poplar</t>
  </si>
  <si>
    <t>Miscellaneous:</t>
  </si>
  <si>
    <t>Amber (fossil resin)</t>
  </si>
  <si>
    <t>DeKhotinsky cement</t>
  </si>
  <si>
    <t>Gilsonite (99.9% natural bitumen)</t>
  </si>
  <si>
    <t>Shellac (natural XL)</t>
  </si>
  <si>
    <t>Mica, glass-bonded</t>
  </si>
  <si>
    <t>Mica, glass, titanium dioxide</t>
  </si>
  <si>
    <t>Ruby mica</t>
  </si>
  <si>
    <t>Paper, royal grey</t>
  </si>
  <si>
    <t>Selenium (amorphous)</t>
  </si>
  <si>
    <t>Asbestos fiber-chrysotile paper</t>
  </si>
  <si>
    <t>Sodium chloride (fresh crystals)</t>
  </si>
  <si>
    <t>Soil, sandy dry</t>
  </si>
  <si>
    <t>Soil, loamy dry</t>
  </si>
  <si>
    <t>Ice (from pure distilled water, -12°C)</t>
  </si>
  <si>
    <t>Freshly fallen snow (-20°C)</t>
  </si>
  <si>
    <t>Hard-packed snow followed by light rain (-6°C)</t>
  </si>
  <si>
    <t>Water (distilled)</t>
  </si>
  <si>
    <t xml:space="preserve">Skin depth </t>
  </si>
  <si>
    <t>Conductors &amp; skin effect</t>
  </si>
  <si>
    <t>Shielding &amp; skin effect</t>
  </si>
  <si>
    <r>
      <t xml:space="preserve">Width </t>
    </r>
    <r>
      <rPr>
        <i/>
        <sz val="9"/>
        <color theme="1"/>
        <rFont val="Helvetica-Normal"/>
      </rPr>
      <t>w</t>
    </r>
  </si>
  <si>
    <r>
      <t xml:space="preserve">Height </t>
    </r>
    <r>
      <rPr>
        <i/>
        <sz val="9"/>
        <color theme="1"/>
        <rFont val="Helvetica-Normal"/>
      </rPr>
      <t>h</t>
    </r>
  </si>
  <si>
    <t>at the surface of the conductor Js [A/m2]. The current density Jd  [A/m2] at distance d [m] from the conductor surface is defined as [1]:</t>
  </si>
  <si>
    <r>
      <t>has to travel through that absorbing material until its field strength is reduced to 37% of E</t>
    </r>
    <r>
      <rPr>
        <vertAlign val="subscript"/>
        <sz val="9"/>
        <color theme="1"/>
        <rFont val="Helvetica-Normal"/>
      </rPr>
      <t>0</t>
    </r>
    <r>
      <rPr>
        <sz val="9"/>
        <color theme="1"/>
        <rFont val="Helvetica-Normal"/>
      </rPr>
      <t xml:space="preserve"> or H</t>
    </r>
    <r>
      <rPr>
        <vertAlign val="subscript"/>
        <sz val="9"/>
        <color theme="1"/>
        <rFont val="Helvetica-Normal"/>
      </rPr>
      <t>0</t>
    </r>
    <r>
      <rPr>
        <sz val="9"/>
        <color theme="1"/>
        <rFont val="Helvetica-Normal"/>
      </rPr>
      <t xml:space="preserve"> (37%=1/e). This means that the power of the plane electromagnetic wave</t>
    </r>
  </si>
  <si>
    <r>
      <t xml:space="preserve">is lowered by 20·log10(0.37) = 9dB after it traveled the distance </t>
    </r>
    <r>
      <rPr>
        <i/>
        <sz val="9"/>
        <color theme="1"/>
        <rFont val="Symbol"/>
        <family val="1"/>
        <charset val="2"/>
      </rPr>
      <t>d</t>
    </r>
    <r>
      <rPr>
        <sz val="9"/>
        <color theme="1"/>
        <rFont val="Helvetica-Normal"/>
      </rPr>
      <t xml:space="preserve"> [m]. The attenuation of an electromagnetic plane wave is defined like this [2]:</t>
    </r>
  </si>
  <si>
    <r>
      <t xml:space="preserve">Imagine an electromagnetic plane wave of field strength </t>
    </r>
    <r>
      <rPr>
        <i/>
        <sz val="9"/>
        <color theme="1"/>
        <rFont val="Helvetica-Normal"/>
      </rPr>
      <t>E</t>
    </r>
    <r>
      <rPr>
        <vertAlign val="subscript"/>
        <sz val="9"/>
        <color theme="1"/>
        <rFont val="Helvetica-Normal"/>
      </rPr>
      <t>0</t>
    </r>
    <r>
      <rPr>
        <sz val="9"/>
        <color theme="1"/>
        <rFont val="Helvetica-Normal"/>
      </rPr>
      <t xml:space="preserve"> and </t>
    </r>
    <r>
      <rPr>
        <i/>
        <sz val="9"/>
        <color theme="1"/>
        <rFont val="Helvetica-Normal"/>
      </rPr>
      <t>H</t>
    </r>
    <r>
      <rPr>
        <vertAlign val="subscript"/>
        <sz val="9"/>
        <color theme="1"/>
        <rFont val="Helvetica-Normal"/>
      </rPr>
      <t>0</t>
    </r>
    <r>
      <rPr>
        <sz val="9"/>
        <color theme="1"/>
        <rFont val="Helvetica-Normal"/>
      </rPr>
      <t xml:space="preserve"> entering an absorbing material (shield). The </t>
    </r>
    <r>
      <rPr>
        <b/>
        <sz val="9"/>
        <color theme="1"/>
        <rFont val="Helvetica-Normal"/>
      </rPr>
      <t xml:space="preserve">skin depth </t>
    </r>
    <r>
      <rPr>
        <b/>
        <sz val="9"/>
        <color theme="1"/>
        <rFont val="Symbol"/>
        <family val="1"/>
        <charset val="2"/>
      </rPr>
      <t>d</t>
    </r>
    <r>
      <rPr>
        <b/>
        <sz val="9"/>
        <color theme="1"/>
        <rFont val="Helvetica-Normal"/>
      </rPr>
      <t xml:space="preserve"> [m] </t>
    </r>
    <r>
      <rPr>
        <sz val="9"/>
        <color theme="1"/>
        <rFont val="Helvetica-Normal"/>
      </rPr>
      <t xml:space="preserve">is the distance an electromagnetic wave  </t>
    </r>
  </si>
  <si>
    <r>
      <t>phery. The</t>
    </r>
    <r>
      <rPr>
        <b/>
        <sz val="9"/>
        <color theme="1"/>
        <rFont val="Helvetica-Normal"/>
      </rPr>
      <t xml:space="preserve"> skin depth </t>
    </r>
    <r>
      <rPr>
        <b/>
        <sz val="9"/>
        <color theme="1"/>
        <rFont val="Symbol"/>
        <family val="1"/>
        <charset val="2"/>
      </rPr>
      <t>d</t>
    </r>
    <r>
      <rPr>
        <b/>
        <sz val="9"/>
        <color theme="1"/>
        <rFont val="Helvetica-Normal"/>
      </rPr>
      <t xml:space="preserve"> [m]</t>
    </r>
    <r>
      <rPr>
        <sz val="9"/>
        <color theme="1"/>
        <rFont val="Helvetica-Normal"/>
      </rPr>
      <t xml:space="preserve"> is defined as the distance from the conductor edge where the current density has fallen to 37% (37% = 1/e = 1/2.72) of the current density </t>
    </r>
  </si>
  <si>
    <t>With higher frequency of an electrical signal the skin effect leads to an increased resistance of a conductor, because the current tends to crowd close to the outer peri-</t>
  </si>
  <si>
    <r>
      <rPr>
        <b/>
        <sz val="11"/>
        <color theme="1"/>
        <rFont val="Symbol"/>
        <family val="1"/>
        <charset val="2"/>
      </rPr>
      <t>d</t>
    </r>
    <r>
      <rPr>
        <b/>
        <sz val="11"/>
        <color theme="1"/>
        <rFont val="Calibri"/>
        <family val="2"/>
        <scheme val="minor"/>
      </rPr>
      <t xml:space="preserve"> [mm]</t>
    </r>
  </si>
  <si>
    <t xml:space="preserve"> Frequency [Hz]</t>
  </si>
  <si>
    <r>
      <rPr>
        <b/>
        <sz val="11"/>
        <color theme="1"/>
        <rFont val="Symbol"/>
        <family val="1"/>
        <charset val="2"/>
      </rPr>
      <t>d</t>
    </r>
    <r>
      <rPr>
        <b/>
        <sz val="11"/>
        <color theme="1"/>
        <rFont val="Helvetica"/>
      </rPr>
      <t>'</t>
    </r>
    <r>
      <rPr>
        <b/>
        <sz val="11"/>
        <color theme="1"/>
        <rFont val="Calibri"/>
        <family val="2"/>
        <scheme val="minor"/>
      </rPr>
      <t xml:space="preserve"> [mm]</t>
    </r>
  </si>
  <si>
    <t>Z [1]</t>
  </si>
  <si>
    <t>Y [1]</t>
  </si>
  <si>
    <r>
      <t>A</t>
    </r>
    <r>
      <rPr>
        <b/>
        <vertAlign val="subscript"/>
        <sz val="11"/>
        <color theme="1"/>
        <rFont val="Calibri"/>
        <family val="2"/>
        <scheme val="minor"/>
      </rPr>
      <t>eff</t>
    </r>
    <r>
      <rPr>
        <b/>
        <sz val="11"/>
        <color theme="1"/>
        <rFont val="Calibri"/>
        <family val="2"/>
        <scheme val="minor"/>
      </rPr>
      <t xml:space="preserve"> [mm</t>
    </r>
    <r>
      <rPr>
        <b/>
        <vertAlign val="superscript"/>
        <sz val="11"/>
        <color theme="1"/>
        <rFont val="Calibri"/>
        <family val="2"/>
        <scheme val="minor"/>
      </rPr>
      <t>2</t>
    </r>
    <r>
      <rPr>
        <b/>
        <sz val="11"/>
        <color theme="1"/>
        <rFont val="Calibri"/>
        <family val="2"/>
        <scheme val="minor"/>
      </rPr>
      <t>]</t>
    </r>
  </si>
  <si>
    <r>
      <t>A</t>
    </r>
    <r>
      <rPr>
        <b/>
        <vertAlign val="subscript"/>
        <sz val="11"/>
        <color theme="1"/>
        <rFont val="Calibri"/>
        <family val="2"/>
        <scheme val="minor"/>
      </rPr>
      <t>eff</t>
    </r>
    <r>
      <rPr>
        <b/>
        <sz val="11"/>
        <color theme="1"/>
        <rFont val="Calibri"/>
        <family val="2"/>
        <scheme val="minor"/>
      </rPr>
      <t xml:space="preserve"> [m</t>
    </r>
    <r>
      <rPr>
        <b/>
        <vertAlign val="superscript"/>
        <sz val="11"/>
        <color theme="1"/>
        <rFont val="Calibri"/>
        <family val="2"/>
        <scheme val="minor"/>
      </rPr>
      <t>2</t>
    </r>
    <r>
      <rPr>
        <b/>
        <sz val="11"/>
        <color theme="1"/>
        <rFont val="Calibri"/>
        <family val="2"/>
        <scheme val="minor"/>
      </rPr>
      <t>]</t>
    </r>
  </si>
  <si>
    <r>
      <t>r [</t>
    </r>
    <r>
      <rPr>
        <b/>
        <sz val="11"/>
        <color theme="1"/>
        <rFont val="Symbol"/>
        <family val="1"/>
        <charset val="2"/>
      </rPr>
      <t>W</t>
    </r>
    <r>
      <rPr>
        <b/>
        <sz val="11"/>
        <color theme="1"/>
        <rFont val="Calibri"/>
        <family val="2"/>
        <scheme val="minor"/>
      </rPr>
      <t>/m]</t>
    </r>
  </si>
  <si>
    <t>Relative permeability of the conductor or shield material</t>
  </si>
  <si>
    <t>Relative permittivity (dielectric constant) of the conductor or shield material.</t>
  </si>
  <si>
    <r>
      <t>The resistance of a conductor increases with incerasing frequency, because the effective area A</t>
    </r>
    <r>
      <rPr>
        <vertAlign val="subscript"/>
        <sz val="9"/>
        <color theme="1"/>
        <rFont val="Helvetica-Normal"/>
      </rPr>
      <t>eff</t>
    </r>
    <r>
      <rPr>
        <sz val="9"/>
        <color theme="1"/>
        <rFont val="Helvetica-Normal"/>
      </rPr>
      <t xml:space="preserve"> througth which the current flows. A</t>
    </r>
    <r>
      <rPr>
        <vertAlign val="subscript"/>
        <sz val="9"/>
        <color theme="1"/>
        <rFont val="Helvetica-Normal"/>
      </rPr>
      <t>eff</t>
    </r>
    <r>
      <rPr>
        <sz val="9"/>
        <color theme="1"/>
        <rFont val="Helvetica-Normal"/>
      </rPr>
      <t xml:space="preserve"> is a function of the skin depth </t>
    </r>
    <r>
      <rPr>
        <sz val="9"/>
        <color theme="1"/>
        <rFont val="Symbol"/>
        <family val="1"/>
        <charset val="2"/>
      </rPr>
      <t>d</t>
    </r>
    <r>
      <rPr>
        <sz val="9"/>
        <color theme="1"/>
        <rFont val="Helvetica-Normal"/>
      </rPr>
      <t>. The</t>
    </r>
  </si>
  <si>
    <r>
      <t xml:space="preserve">[3] David Knight. </t>
    </r>
    <r>
      <rPr>
        <i/>
        <sz val="9"/>
        <color theme="1"/>
        <rFont val="Helvetica-Normal"/>
      </rPr>
      <t>Components &amp; Materials. Resistance, resistors, and conductors.</t>
    </r>
    <r>
      <rPr>
        <sz val="9"/>
        <color theme="1"/>
        <rFont val="Helvetica-Normal"/>
      </rPr>
      <t xml:space="preserve"> http://www.g3ynh.info/zdocs/comps/part_1.html. 2008 [02.Jan.2021]</t>
    </r>
  </si>
  <si>
    <r>
      <t xml:space="preserve">Outer diameter </t>
    </r>
    <r>
      <rPr>
        <i/>
        <sz val="9"/>
        <color theme="1"/>
        <rFont val="Helvetica-Normal"/>
      </rPr>
      <t>D</t>
    </r>
    <r>
      <rPr>
        <sz val="9"/>
        <color theme="1"/>
        <rFont val="Helvetica-Normal"/>
      </rPr>
      <t xml:space="preserve"> of a round conductor.</t>
    </r>
  </si>
  <si>
    <r>
      <t xml:space="preserve">Width </t>
    </r>
    <r>
      <rPr>
        <i/>
        <sz val="9"/>
        <color theme="1"/>
        <rFont val="Helvetica-Normal"/>
      </rPr>
      <t>w</t>
    </r>
    <r>
      <rPr>
        <sz val="9"/>
        <color theme="1"/>
        <rFont val="Helvetica-Normal"/>
      </rPr>
      <t xml:space="preserve"> of a rectangular conductor.</t>
    </r>
  </si>
  <si>
    <r>
      <t xml:space="preserve">Heigth </t>
    </r>
    <r>
      <rPr>
        <i/>
        <sz val="9"/>
        <color theme="1"/>
        <rFont val="Helvetica-Normal"/>
      </rPr>
      <t>h</t>
    </r>
    <r>
      <rPr>
        <sz val="9"/>
        <color theme="1"/>
        <rFont val="Helvetica-Normal"/>
      </rPr>
      <t xml:space="preserve"> of a rectangular conductor.</t>
    </r>
  </si>
  <si>
    <t>Skin Effect - Academy of EMC</t>
  </si>
  <si>
    <r>
      <t>R</t>
    </r>
    <r>
      <rPr>
        <b/>
        <vertAlign val="subscript"/>
        <sz val="11"/>
        <color theme="1"/>
        <rFont val="Calibri"/>
        <family val="2"/>
        <scheme val="minor"/>
      </rPr>
      <t>AC</t>
    </r>
    <r>
      <rPr>
        <b/>
        <sz val="11"/>
        <color theme="1"/>
        <rFont val="Calibri"/>
        <family val="2"/>
        <scheme val="minor"/>
      </rPr>
      <t>'[</t>
    </r>
    <r>
      <rPr>
        <b/>
        <sz val="11"/>
        <color theme="1"/>
        <rFont val="Symbol"/>
        <family val="1"/>
        <charset val="2"/>
      </rPr>
      <t>W</t>
    </r>
    <r>
      <rPr>
        <b/>
        <sz val="11"/>
        <color theme="1"/>
        <rFont val="Calibri"/>
        <family val="2"/>
        <scheme val="minor"/>
      </rPr>
      <t>/m]</t>
    </r>
  </si>
  <si>
    <r>
      <t>R</t>
    </r>
    <r>
      <rPr>
        <b/>
        <vertAlign val="subscript"/>
        <sz val="11"/>
        <color theme="1"/>
        <rFont val="Calibri"/>
        <family val="2"/>
        <scheme val="minor"/>
      </rPr>
      <t>DC</t>
    </r>
    <r>
      <rPr>
        <b/>
        <sz val="11"/>
        <color theme="1"/>
        <rFont val="Calibri"/>
        <family val="2"/>
        <scheme val="minor"/>
      </rPr>
      <t>'[</t>
    </r>
    <r>
      <rPr>
        <b/>
        <sz val="11"/>
        <color theme="1"/>
        <rFont val="Symbol"/>
        <family val="1"/>
        <charset val="2"/>
      </rPr>
      <t>W</t>
    </r>
    <r>
      <rPr>
        <b/>
        <sz val="11"/>
        <color theme="1"/>
        <rFont val="Calibri"/>
        <family val="2"/>
        <scheme val="minor"/>
      </rPr>
      <t>/m]</t>
    </r>
  </si>
  <si>
    <r>
      <t>A[mm</t>
    </r>
    <r>
      <rPr>
        <b/>
        <vertAlign val="superscript"/>
        <sz val="11"/>
        <color theme="1"/>
        <rFont val="Calibri"/>
        <family val="2"/>
        <scheme val="minor"/>
      </rPr>
      <t>2</t>
    </r>
    <r>
      <rPr>
        <b/>
        <sz val="11"/>
        <color theme="1"/>
        <rFont val="Calibri"/>
        <family val="2"/>
        <scheme val="minor"/>
      </rPr>
      <t>]</t>
    </r>
  </si>
  <si>
    <t>0.035</t>
  </si>
  <si>
    <t>d [mm]</t>
  </si>
  <si>
    <r>
      <t>A</t>
    </r>
    <r>
      <rPr>
        <b/>
        <vertAlign val="subscript"/>
        <sz val="11"/>
        <color theme="1"/>
        <rFont val="Helvetica"/>
      </rPr>
      <t>noI</t>
    </r>
    <r>
      <rPr>
        <b/>
        <sz val="11"/>
        <color theme="1"/>
        <rFont val="Helvetica"/>
      </rPr>
      <t>[mm</t>
    </r>
    <r>
      <rPr>
        <b/>
        <vertAlign val="superscript"/>
        <sz val="11"/>
        <color theme="1"/>
        <rFont val="Helvetica"/>
      </rPr>
      <t>2</t>
    </r>
    <r>
      <rPr>
        <b/>
        <sz val="11"/>
        <color theme="1"/>
        <rFont val="Helvetica"/>
      </rPr>
      <t>]</t>
    </r>
  </si>
  <si>
    <r>
      <t>A</t>
    </r>
    <r>
      <rPr>
        <b/>
        <vertAlign val="subscript"/>
        <sz val="11"/>
        <color theme="1"/>
        <rFont val="Helvetica"/>
      </rPr>
      <t>AC</t>
    </r>
    <r>
      <rPr>
        <b/>
        <sz val="11"/>
        <color theme="1"/>
        <rFont val="Helvetica"/>
      </rPr>
      <t>[mm</t>
    </r>
    <r>
      <rPr>
        <b/>
        <vertAlign val="superscript"/>
        <sz val="11"/>
        <color theme="1"/>
        <rFont val="Helvetica"/>
      </rPr>
      <t>2</t>
    </r>
    <r>
      <rPr>
        <b/>
        <sz val="11"/>
        <color theme="1"/>
        <rFont val="Helvetica"/>
      </rPr>
      <t>]</t>
    </r>
  </si>
  <si>
    <r>
      <t>w</t>
    </r>
    <r>
      <rPr>
        <b/>
        <vertAlign val="subscript"/>
        <sz val="11"/>
        <color theme="1"/>
        <rFont val="Helvetica"/>
      </rPr>
      <t xml:space="preserve">noI </t>
    </r>
    <r>
      <rPr>
        <b/>
        <sz val="11"/>
        <color theme="1"/>
        <rFont val="Helvetica"/>
      </rPr>
      <t>[mm]</t>
    </r>
  </si>
  <si>
    <r>
      <t>h</t>
    </r>
    <r>
      <rPr>
        <b/>
        <vertAlign val="subscript"/>
        <sz val="11"/>
        <color theme="1"/>
        <rFont val="Helvetica"/>
      </rPr>
      <t xml:space="preserve">noI </t>
    </r>
    <r>
      <rPr>
        <b/>
        <sz val="11"/>
        <color theme="1"/>
        <rFont val="Helvetica"/>
      </rPr>
      <t>[mm]</t>
    </r>
  </si>
  <si>
    <t>0.25</t>
  </si>
  <si>
    <t>calculations below for a round wire (diameter D) are approximations [3][4] and ignore the return curren path (proximity effect) and assume a single conductor surrounded by air.</t>
  </si>
  <si>
    <r>
      <t xml:space="preserve">[4] Dr. Howard Johnson, Martin Graham. </t>
    </r>
    <r>
      <rPr>
        <i/>
        <sz val="9"/>
        <color theme="1"/>
        <rFont val="Helvetica-Normal"/>
      </rPr>
      <t>High Speed Signal Propagation: Advanced Black Magic</t>
    </r>
    <r>
      <rPr>
        <sz val="9"/>
        <color theme="1"/>
        <rFont val="Helvetica-Normal"/>
      </rPr>
      <t>. Prentice Hall. 1997. p.155</t>
    </r>
  </si>
  <si>
    <t>calculations below for a PCB trace (w, h) are approximations [3][4] and ignore the return current path (proximity effect) and assume a single conductor surrounded only by air.</t>
  </si>
  <si>
    <r>
      <t>Z</t>
    </r>
    <r>
      <rPr>
        <b/>
        <vertAlign val="subscript"/>
        <sz val="9"/>
        <color theme="1"/>
        <rFont val="Helvetica-Normal"/>
      </rPr>
      <t>load</t>
    </r>
    <r>
      <rPr>
        <b/>
        <sz val="9"/>
        <color theme="1"/>
        <rFont val="Helvetica-Normal"/>
      </rPr>
      <t xml:space="preserve"> [</t>
    </r>
    <r>
      <rPr>
        <b/>
        <sz val="9"/>
        <color theme="1"/>
        <rFont val="Symbol"/>
        <family val="1"/>
        <charset val="2"/>
      </rPr>
      <t>W</t>
    </r>
    <r>
      <rPr>
        <b/>
        <sz val="9"/>
        <color theme="1"/>
        <rFont val="Helvetica-Normal"/>
      </rPr>
      <t>]</t>
    </r>
  </si>
  <si>
    <t>HF-Resistance - round conductor</t>
  </si>
  <si>
    <t>HF-Resistance - PCB trace</t>
  </si>
  <si>
    <t>2021-Jan-15</t>
  </si>
  <si>
    <t>Shielding - Academy of EMC</t>
  </si>
  <si>
    <t>Shielding Effectiveness</t>
  </si>
  <si>
    <t>3</t>
  </si>
  <si>
    <t>[3] Peter Lefferson, Twisted Magnet Wire Transmission Line, IEEE Transactions on parts, hybrids, and packaging, Vol. PHP-7, No. 4, 1971 pp. 148-154</t>
  </si>
  <si>
    <t>Sum of all common-mode current through a cable</t>
  </si>
  <si>
    <t>Differential-mode current</t>
  </si>
  <si>
    <r>
      <t>E</t>
    </r>
    <r>
      <rPr>
        <vertAlign val="subscript"/>
        <sz val="9"/>
        <color theme="1"/>
        <rFont val="Calibri"/>
        <family val="2"/>
        <scheme val="minor"/>
      </rPr>
      <t>CM</t>
    </r>
    <r>
      <rPr>
        <sz val="9"/>
        <color theme="1"/>
        <rFont val="Calibri"/>
        <family val="2"/>
        <scheme val="minor"/>
      </rPr>
      <t xml:space="preserve"> [V/m]</t>
    </r>
  </si>
  <si>
    <r>
      <t>E</t>
    </r>
    <r>
      <rPr>
        <vertAlign val="subscript"/>
        <sz val="9"/>
        <color theme="1"/>
        <rFont val="Calibri"/>
        <family val="2"/>
        <scheme val="minor"/>
      </rPr>
      <t>DM</t>
    </r>
    <r>
      <rPr>
        <sz val="9"/>
        <color theme="1"/>
        <rFont val="Calibri"/>
        <family val="2"/>
        <scheme val="minor"/>
      </rPr>
      <t xml:space="preserve"> [V/m]</t>
    </r>
  </si>
  <si>
    <t>Cable length</t>
  </si>
  <si>
    <r>
      <t>[</t>
    </r>
    <r>
      <rPr>
        <sz val="9"/>
        <color theme="1"/>
        <rFont val="Symbol"/>
        <family val="1"/>
        <charset val="2"/>
      </rPr>
      <t>W</t>
    </r>
    <r>
      <rPr>
        <sz val="9"/>
        <color theme="1"/>
        <rFont val="Calibri"/>
        <family val="2"/>
        <scheme val="minor"/>
      </rPr>
      <t>]</t>
    </r>
  </si>
  <si>
    <t>2021-Dec-24</t>
  </si>
  <si>
    <t>Frequency of the sinusoidal (harmonic) signal</t>
  </si>
  <si>
    <t>Calculated parameters</t>
  </si>
  <si>
    <r>
      <t xml:space="preserve">Current loop length </t>
    </r>
    <r>
      <rPr>
        <i/>
        <sz val="9"/>
        <color theme="1"/>
        <rFont val="Helvetica-Normal"/>
      </rPr>
      <t>l</t>
    </r>
  </si>
  <si>
    <r>
      <t xml:space="preserve">Current loop width </t>
    </r>
    <r>
      <rPr>
        <i/>
        <sz val="9"/>
        <color theme="1"/>
        <rFont val="Helvetica-Normal"/>
      </rPr>
      <t>w</t>
    </r>
  </si>
  <si>
    <r>
      <t xml:space="preserve">Differential-mode current </t>
    </r>
    <r>
      <rPr>
        <i/>
        <sz val="9"/>
        <color theme="1"/>
        <rFont val="Helvetica-Normal"/>
      </rPr>
      <t>I</t>
    </r>
    <r>
      <rPr>
        <i/>
        <vertAlign val="subscript"/>
        <sz val="9"/>
        <color theme="1"/>
        <rFont val="Helvetica-Normal"/>
      </rPr>
      <t>DM</t>
    </r>
  </si>
  <si>
    <r>
      <t xml:space="preserve">Differential-mode voltage </t>
    </r>
    <r>
      <rPr>
        <i/>
        <sz val="9"/>
        <color theme="1"/>
        <rFont val="Helvetica-Normal"/>
      </rPr>
      <t>V</t>
    </r>
    <r>
      <rPr>
        <i/>
        <vertAlign val="subscript"/>
        <sz val="9"/>
        <color theme="1"/>
        <rFont val="Helvetica-Normal"/>
      </rPr>
      <t>DM</t>
    </r>
  </si>
  <si>
    <r>
      <t xml:space="preserve">Current loop imbedance </t>
    </r>
    <r>
      <rPr>
        <i/>
        <sz val="9"/>
        <color theme="1"/>
        <rFont val="Helvetica-Normal"/>
      </rPr>
      <t>Z</t>
    </r>
  </si>
  <si>
    <r>
      <t xml:space="preserve">Wavelength of signal based on frequency </t>
    </r>
    <r>
      <rPr>
        <i/>
        <sz val="9"/>
        <color theme="1"/>
        <rFont val="Helvetica-Normal"/>
      </rPr>
      <t>f</t>
    </r>
    <r>
      <rPr>
        <sz val="9"/>
        <color theme="1"/>
        <rFont val="Helvetica-Normal"/>
      </rPr>
      <t xml:space="preserve"> and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 xml:space="preserve"> above</t>
    </r>
  </si>
  <si>
    <t>[1/m]</t>
  </si>
  <si>
    <r>
      <t xml:space="preserve">Phase constant </t>
    </r>
    <r>
      <rPr>
        <i/>
        <sz val="9"/>
        <color theme="1"/>
        <rFont val="Symbol"/>
        <family val="1"/>
        <charset val="2"/>
      </rPr>
      <t>b</t>
    </r>
  </si>
  <si>
    <r>
      <t xml:space="preserve">Intrinsic impedance </t>
    </r>
    <r>
      <rPr>
        <i/>
        <sz val="9"/>
        <color theme="1"/>
        <rFont val="Symbol"/>
        <family val="1"/>
        <charset val="2"/>
      </rPr>
      <t>h</t>
    </r>
  </si>
  <si>
    <r>
      <t>Intrinsic impedance of medium around small current loop (typ. 377</t>
    </r>
    <r>
      <rPr>
        <sz val="9"/>
        <color theme="1"/>
        <rFont val="Symbol"/>
        <family val="1"/>
        <charset val="2"/>
      </rPr>
      <t>W</t>
    </r>
    <r>
      <rPr>
        <sz val="9"/>
        <color theme="1"/>
        <rFont val="Helvetica"/>
      </rPr>
      <t>)</t>
    </r>
  </si>
  <si>
    <t>Differential current through small current loop</t>
  </si>
  <si>
    <t>Impedance of small current loop</t>
  </si>
  <si>
    <r>
      <t xml:space="preserve">Calculated current based on </t>
    </r>
    <r>
      <rPr>
        <i/>
        <sz val="9"/>
        <color theme="1"/>
        <rFont val="Helvetica"/>
      </rPr>
      <t>V</t>
    </r>
    <r>
      <rPr>
        <i/>
        <vertAlign val="subscript"/>
        <sz val="9"/>
        <color theme="1"/>
        <rFont val="Helvetica"/>
      </rPr>
      <t>DM</t>
    </r>
    <r>
      <rPr>
        <sz val="9"/>
        <color theme="1"/>
        <rFont val="Helvetica"/>
      </rPr>
      <t xml:space="preserve"> and </t>
    </r>
    <r>
      <rPr>
        <i/>
        <sz val="9"/>
        <color theme="1"/>
        <rFont val="Helvetica"/>
      </rPr>
      <t>Z</t>
    </r>
  </si>
  <si>
    <t>[1] Clayton R. Paul. Introduction to electromagnetic compatibility. John Wiley &amp; Sons Inc., 2nd Edition, 2008, p. 510</t>
  </si>
  <si>
    <r>
      <t xml:space="preserve">[2] Henry W. Ott, </t>
    </r>
    <r>
      <rPr>
        <i/>
        <sz val="9"/>
        <color theme="1"/>
        <rFont val="Helvetica-Normal"/>
      </rPr>
      <t>Electromagnetic Compatibility Engineering</t>
    </r>
    <r>
      <rPr>
        <sz val="9"/>
        <color theme="1"/>
        <rFont val="Helvetica-Normal"/>
      </rPr>
      <t>, John Wiley &amp; Sons, Inc., 2009, p. 467</t>
    </r>
  </si>
  <si>
    <r>
      <rPr>
        <b/>
        <i/>
        <sz val="9"/>
        <color theme="1"/>
        <rFont val="Helvetica-Normal"/>
      </rPr>
      <t>I</t>
    </r>
    <r>
      <rPr>
        <b/>
        <i/>
        <vertAlign val="subscript"/>
        <sz val="9"/>
        <color theme="1"/>
        <rFont val="Helvetica-Normal"/>
      </rPr>
      <t>DM</t>
    </r>
    <r>
      <rPr>
        <b/>
        <i/>
        <sz val="9"/>
        <color theme="1"/>
        <rFont val="Helvetica-Normal"/>
      </rPr>
      <t xml:space="preserve"> </t>
    </r>
    <r>
      <rPr>
        <b/>
        <sz val="9"/>
        <color theme="1"/>
        <rFont val="Helvetica-Normal"/>
      </rPr>
      <t>is known (Paul, Ott)</t>
    </r>
  </si>
  <si>
    <r>
      <t xml:space="preserve">[3] Dr. Todd H. Hubing, </t>
    </r>
    <r>
      <rPr>
        <i/>
        <sz val="9"/>
        <color theme="1"/>
        <rFont val="Helvetica-Normal"/>
      </rPr>
      <t>https://learnemc.com/electromagnetic-radiation</t>
    </r>
    <r>
      <rPr>
        <sz val="9"/>
        <color theme="1"/>
        <rFont val="Helvetica-Normal"/>
      </rPr>
      <t>, Learn EMC, 2021-12-24</t>
    </r>
  </si>
  <si>
    <r>
      <rPr>
        <b/>
        <i/>
        <sz val="9"/>
        <color theme="1"/>
        <rFont val="Calibri"/>
        <family val="2"/>
        <scheme val="minor"/>
      </rPr>
      <t>E</t>
    </r>
    <r>
      <rPr>
        <b/>
        <i/>
        <vertAlign val="subscript"/>
        <sz val="9"/>
        <color theme="1"/>
        <rFont val="Calibri"/>
        <family val="2"/>
        <scheme val="minor"/>
      </rPr>
      <t>DM</t>
    </r>
    <r>
      <rPr>
        <b/>
        <vertAlign val="subscript"/>
        <sz val="9"/>
        <color theme="1"/>
        <rFont val="Calibri"/>
        <family val="2"/>
        <scheme val="minor"/>
      </rPr>
      <t>-Paul</t>
    </r>
    <r>
      <rPr>
        <b/>
        <sz val="9"/>
        <color theme="1"/>
        <rFont val="Calibri"/>
        <family val="2"/>
        <scheme val="minor"/>
      </rPr>
      <t xml:space="preserve"> [dBuV/m] [1]</t>
    </r>
  </si>
  <si>
    <r>
      <rPr>
        <b/>
        <i/>
        <sz val="9"/>
        <color theme="1"/>
        <rFont val="Calibri"/>
        <family val="2"/>
        <scheme val="minor"/>
      </rPr>
      <t>E</t>
    </r>
    <r>
      <rPr>
        <b/>
        <i/>
        <vertAlign val="subscript"/>
        <sz val="9"/>
        <color theme="1"/>
        <rFont val="Calibri"/>
        <family val="2"/>
        <scheme val="minor"/>
      </rPr>
      <t>DM</t>
    </r>
    <r>
      <rPr>
        <b/>
        <vertAlign val="subscript"/>
        <sz val="9"/>
        <color theme="1"/>
        <rFont val="Calibri"/>
        <family val="2"/>
        <scheme val="minor"/>
      </rPr>
      <t>-Ott</t>
    </r>
    <r>
      <rPr>
        <b/>
        <sz val="9"/>
        <color theme="1"/>
        <rFont val="Calibri"/>
        <family val="2"/>
        <scheme val="minor"/>
      </rPr>
      <t xml:space="preserve"> [dBuV/m] [2]</t>
    </r>
  </si>
  <si>
    <r>
      <rPr>
        <b/>
        <i/>
        <sz val="9"/>
        <color theme="1"/>
        <rFont val="Calibri"/>
        <family val="2"/>
        <scheme val="minor"/>
      </rPr>
      <t>E</t>
    </r>
    <r>
      <rPr>
        <b/>
        <i/>
        <vertAlign val="subscript"/>
        <sz val="9"/>
        <color theme="1"/>
        <rFont val="Calibri"/>
        <family val="2"/>
        <scheme val="minor"/>
      </rPr>
      <t>DM</t>
    </r>
    <r>
      <rPr>
        <b/>
        <vertAlign val="subscript"/>
        <sz val="9"/>
        <color theme="1"/>
        <rFont val="Calibri"/>
        <family val="2"/>
        <scheme val="minor"/>
      </rPr>
      <t>-Hubing</t>
    </r>
    <r>
      <rPr>
        <b/>
        <sz val="9"/>
        <color theme="1"/>
        <rFont val="Calibri"/>
        <family val="2"/>
        <scheme val="minor"/>
      </rPr>
      <t xml:space="preserve"> [dBuV/m] [3]</t>
    </r>
  </si>
  <si>
    <r>
      <rPr>
        <b/>
        <i/>
        <sz val="9"/>
        <color theme="1"/>
        <rFont val="Helvetica"/>
      </rPr>
      <t>E</t>
    </r>
    <r>
      <rPr>
        <b/>
        <i/>
        <vertAlign val="subscript"/>
        <sz val="9"/>
        <color theme="1"/>
        <rFont val="Helvetica"/>
      </rPr>
      <t>DM</t>
    </r>
    <r>
      <rPr>
        <b/>
        <vertAlign val="subscript"/>
        <sz val="9"/>
        <color theme="1"/>
        <rFont val="Helvetica"/>
      </rPr>
      <t>-Paul</t>
    </r>
    <r>
      <rPr>
        <b/>
        <sz val="9"/>
        <color theme="1"/>
        <rFont val="Helvetica"/>
      </rPr>
      <t xml:space="preserve"> [V/m] [1]</t>
    </r>
  </si>
  <si>
    <r>
      <rPr>
        <b/>
        <i/>
        <sz val="9"/>
        <color theme="1"/>
        <rFont val="Helvetica"/>
      </rPr>
      <t>E</t>
    </r>
    <r>
      <rPr>
        <b/>
        <i/>
        <vertAlign val="subscript"/>
        <sz val="9"/>
        <color theme="1"/>
        <rFont val="Helvetica"/>
      </rPr>
      <t>DM</t>
    </r>
    <r>
      <rPr>
        <b/>
        <vertAlign val="subscript"/>
        <sz val="9"/>
        <color theme="1"/>
        <rFont val="Helvetica"/>
      </rPr>
      <t>-Ott</t>
    </r>
    <r>
      <rPr>
        <b/>
        <sz val="9"/>
        <color theme="1"/>
        <rFont val="Helvetica"/>
      </rPr>
      <t xml:space="preserve"> [V/m] [2]</t>
    </r>
  </si>
  <si>
    <r>
      <rPr>
        <b/>
        <i/>
        <sz val="9"/>
        <color theme="1"/>
        <rFont val="Helvetica"/>
      </rPr>
      <t>E</t>
    </r>
    <r>
      <rPr>
        <b/>
        <i/>
        <vertAlign val="subscript"/>
        <sz val="9"/>
        <color theme="1"/>
        <rFont val="Helvetica"/>
      </rPr>
      <t>DM</t>
    </r>
    <r>
      <rPr>
        <b/>
        <vertAlign val="subscript"/>
        <sz val="9"/>
        <color theme="1"/>
        <rFont val="Helvetica"/>
      </rPr>
      <t>-Hubing</t>
    </r>
    <r>
      <rPr>
        <b/>
        <sz val="9"/>
        <color theme="1"/>
        <rFont val="Helvetica"/>
      </rPr>
      <t xml:space="preserve"> [V/m] [3]</t>
    </r>
  </si>
  <si>
    <r>
      <t>Hubing shows very high values for high-impedance circuits (&gt;377</t>
    </r>
    <r>
      <rPr>
        <sz val="9"/>
        <color theme="1"/>
        <rFont val="Symbol"/>
        <family val="1"/>
        <charset val="2"/>
      </rPr>
      <t>W</t>
    </r>
    <r>
      <rPr>
        <sz val="9"/>
        <color theme="1"/>
        <rFont val="Helvetica"/>
      </rPr>
      <t>). Ott is double the Paul value, because Ott accounts for reflections of infinite ground plane. Hubing matches the Paul values for low-impedance circuits (&lt;377</t>
    </r>
    <r>
      <rPr>
        <sz val="9"/>
        <color theme="1"/>
        <rFont val="Symbol"/>
        <family val="1"/>
        <charset val="2"/>
      </rPr>
      <t>W</t>
    </r>
    <r>
      <rPr>
        <sz val="9"/>
        <color theme="1"/>
        <rFont val="Helvetica"/>
      </rPr>
      <t>).</t>
    </r>
  </si>
  <si>
    <t>Electromagnetic Radiation from Differential-Mode Current in Small Current Loops  - Academy of EMC</t>
  </si>
  <si>
    <t>Electromagnetic Radiation from Common-Mode Current in Short Cables - Academy of EMC</t>
  </si>
  <si>
    <r>
      <t xml:space="preserve">Common-mode current </t>
    </r>
    <r>
      <rPr>
        <i/>
        <sz val="9"/>
        <color theme="1"/>
        <rFont val="Helvetica-Normal"/>
      </rPr>
      <t>I</t>
    </r>
    <r>
      <rPr>
        <i/>
        <vertAlign val="subscript"/>
        <sz val="9"/>
        <color theme="1"/>
        <rFont val="Helvetica-Normal"/>
      </rPr>
      <t>CM</t>
    </r>
  </si>
  <si>
    <r>
      <rPr>
        <b/>
        <i/>
        <sz val="9"/>
        <color theme="1"/>
        <rFont val="Helvetica-Normal"/>
      </rPr>
      <t>I</t>
    </r>
    <r>
      <rPr>
        <b/>
        <i/>
        <vertAlign val="subscript"/>
        <sz val="9"/>
        <color theme="1"/>
        <rFont val="Helvetica-Normal"/>
      </rPr>
      <t>CM</t>
    </r>
    <r>
      <rPr>
        <b/>
        <i/>
        <sz val="9"/>
        <color theme="1"/>
        <rFont val="Helvetica-Normal"/>
      </rPr>
      <t xml:space="preserve"> </t>
    </r>
    <r>
      <rPr>
        <b/>
        <sz val="9"/>
        <color theme="1"/>
        <rFont val="Helvetica-Normal"/>
      </rPr>
      <t>is known (Paul, Ott)</t>
    </r>
  </si>
  <si>
    <r>
      <t xml:space="preserve">[2] Henry W. Ott, </t>
    </r>
    <r>
      <rPr>
        <i/>
        <sz val="9"/>
        <color theme="1"/>
        <rFont val="Helvetica-Normal"/>
      </rPr>
      <t>Electromagnetic Compatibility Engineering</t>
    </r>
    <r>
      <rPr>
        <sz val="9"/>
        <color theme="1"/>
        <rFont val="Helvetica-Normal"/>
      </rPr>
      <t>, John Wiley &amp; Sons, Inc., 2009, p. 478</t>
    </r>
  </si>
  <si>
    <r>
      <t xml:space="preserve">Quarter wavelength </t>
    </r>
    <r>
      <rPr>
        <i/>
        <sz val="9"/>
        <color theme="1"/>
        <rFont val="Symbol"/>
        <family val="1"/>
        <charset val="2"/>
      </rPr>
      <t>l</t>
    </r>
    <r>
      <rPr>
        <sz val="9"/>
        <color theme="1"/>
        <rFont val="Helvetica-Normal"/>
      </rPr>
      <t>/4</t>
    </r>
  </si>
  <si>
    <t>Cable should be shorter than that, otherwise the assumptions are not valid any more.</t>
  </si>
  <si>
    <t>[1] Clayton R. Paul. Introduction to electromagnetic compatibility. John Wiley &amp; Sons Inc., 2nd Edition, 2008, p. 521, 526</t>
  </si>
  <si>
    <r>
      <t xml:space="preserve">Cable length </t>
    </r>
    <r>
      <rPr>
        <i/>
        <sz val="9"/>
        <color theme="1"/>
        <rFont val="Helvetica-Normal"/>
      </rPr>
      <t>l</t>
    </r>
  </si>
  <si>
    <r>
      <t xml:space="preserve">Antenna gain </t>
    </r>
    <r>
      <rPr>
        <sz val="9"/>
        <color theme="1"/>
        <rFont val="Symbol"/>
        <family val="1"/>
        <charset val="2"/>
      </rPr>
      <t>l</t>
    </r>
    <r>
      <rPr>
        <sz val="9"/>
        <color theme="1"/>
        <rFont val="Helvetica"/>
      </rPr>
      <t>/4 monopole</t>
    </r>
  </si>
  <si>
    <r>
      <t xml:space="preserve">Antenna gain </t>
    </r>
    <r>
      <rPr>
        <sz val="9"/>
        <color theme="1"/>
        <rFont val="Symbol"/>
        <family val="1"/>
        <charset val="2"/>
      </rPr>
      <t>l</t>
    </r>
    <r>
      <rPr>
        <sz val="9"/>
        <color theme="1"/>
        <rFont val="Helvetica"/>
      </rPr>
      <t>/2 dipole</t>
    </r>
  </si>
  <si>
    <t>W</t>
  </si>
  <si>
    <r>
      <t xml:space="preserve">Radiation resistance </t>
    </r>
    <r>
      <rPr>
        <sz val="9"/>
        <color theme="1"/>
        <rFont val="Symbol"/>
        <family val="1"/>
        <charset val="2"/>
      </rPr>
      <t>l</t>
    </r>
    <r>
      <rPr>
        <sz val="9"/>
        <color theme="1"/>
        <rFont val="Helvetica"/>
      </rPr>
      <t>/4 monopole</t>
    </r>
  </si>
  <si>
    <r>
      <t xml:space="preserve">Radiation resistance </t>
    </r>
    <r>
      <rPr>
        <sz val="9"/>
        <color theme="1"/>
        <rFont val="Symbol"/>
        <family val="1"/>
        <charset val="2"/>
      </rPr>
      <t>l</t>
    </r>
    <r>
      <rPr>
        <sz val="9"/>
        <color theme="1"/>
        <rFont val="Helvetica"/>
      </rPr>
      <t>/2 dipole</t>
    </r>
  </si>
  <si>
    <r>
      <t xml:space="preserve">[3] Dr. Changyi Su, </t>
    </r>
    <r>
      <rPr>
        <i/>
        <sz val="9"/>
        <color theme="1"/>
        <rFont val="Helvetica-Normal"/>
      </rPr>
      <t>Development of Reduced Complexity Models for Electromagnetic Modeling</t>
    </r>
    <r>
      <rPr>
        <sz val="9"/>
        <color theme="1"/>
        <rFont val="Helvetica-Normal"/>
      </rPr>
      <t>, Clemson University, 2011, p. 48</t>
    </r>
  </si>
  <si>
    <r>
      <t xml:space="preserve">Common-mode voltage </t>
    </r>
    <r>
      <rPr>
        <i/>
        <sz val="9"/>
        <color theme="1"/>
        <rFont val="Helvetica-Normal"/>
      </rPr>
      <t>V</t>
    </r>
    <r>
      <rPr>
        <i/>
        <vertAlign val="subscript"/>
        <sz val="9"/>
        <color theme="1"/>
        <rFont val="Helvetica-Normal"/>
      </rPr>
      <t>CM</t>
    </r>
    <r>
      <rPr>
        <sz val="9"/>
        <color theme="1"/>
        <rFont val="Helvetica-Normal"/>
      </rPr>
      <t xml:space="preserve"> for </t>
    </r>
    <r>
      <rPr>
        <sz val="9"/>
        <color theme="1"/>
        <rFont val="Symbol"/>
        <family val="1"/>
        <charset val="2"/>
      </rPr>
      <t>l</t>
    </r>
    <r>
      <rPr>
        <sz val="9"/>
        <color theme="1"/>
        <rFont val="Helvetica-Normal"/>
      </rPr>
      <t>/4</t>
    </r>
  </si>
  <si>
    <r>
      <t xml:space="preserve">Common-mode voltage </t>
    </r>
    <r>
      <rPr>
        <i/>
        <sz val="9"/>
        <color theme="1"/>
        <rFont val="Helvetica-Normal"/>
      </rPr>
      <t>V</t>
    </r>
    <r>
      <rPr>
        <i/>
        <vertAlign val="subscript"/>
        <sz val="9"/>
        <color theme="1"/>
        <rFont val="Helvetica-Normal"/>
      </rPr>
      <t>CM</t>
    </r>
    <r>
      <rPr>
        <sz val="9"/>
        <color theme="1"/>
        <rFont val="Helvetica-Normal"/>
      </rPr>
      <t xml:space="preserve"> for </t>
    </r>
    <r>
      <rPr>
        <sz val="9"/>
        <color theme="1"/>
        <rFont val="Symbol"/>
        <family val="1"/>
        <charset val="2"/>
      </rPr>
      <t>l</t>
    </r>
    <r>
      <rPr>
        <sz val="9"/>
        <color theme="1"/>
        <rFont val="Helvetica-Normal"/>
      </rPr>
      <t>/2</t>
    </r>
  </si>
  <si>
    <r>
      <t xml:space="preserve">Common-mode voltage </t>
    </r>
    <r>
      <rPr>
        <i/>
        <sz val="9"/>
        <color theme="1"/>
        <rFont val="Helvetica"/>
      </rPr>
      <t>V</t>
    </r>
    <r>
      <rPr>
        <i/>
        <vertAlign val="subscript"/>
        <sz val="9"/>
        <color theme="1"/>
        <rFont val="Helvetica"/>
      </rPr>
      <t>CM</t>
    </r>
    <r>
      <rPr>
        <sz val="9"/>
        <color theme="1"/>
        <rFont val="Helvetica"/>
      </rPr>
      <t xml:space="preserve"> for the </t>
    </r>
    <r>
      <rPr>
        <sz val="9"/>
        <color theme="1"/>
        <rFont val="Symbol"/>
        <family val="1"/>
        <charset val="2"/>
      </rPr>
      <t>l</t>
    </r>
    <r>
      <rPr>
        <sz val="9"/>
        <color theme="1"/>
        <rFont val="Helvetica"/>
      </rPr>
      <t xml:space="preserve">/2 dipole antenna with current </t>
    </r>
    <r>
      <rPr>
        <i/>
        <sz val="9"/>
        <color theme="1"/>
        <rFont val="Helvetica"/>
      </rPr>
      <t>I</t>
    </r>
    <r>
      <rPr>
        <i/>
        <vertAlign val="subscript"/>
        <sz val="9"/>
        <color theme="1"/>
        <rFont val="Helvetica"/>
      </rPr>
      <t>CM</t>
    </r>
  </si>
  <si>
    <r>
      <t xml:space="preserve">Common-mode voltage </t>
    </r>
    <r>
      <rPr>
        <i/>
        <sz val="9"/>
        <color theme="1"/>
        <rFont val="Helvetica"/>
      </rPr>
      <t>V</t>
    </r>
    <r>
      <rPr>
        <i/>
        <vertAlign val="subscript"/>
        <sz val="9"/>
        <color theme="1"/>
        <rFont val="Helvetica"/>
      </rPr>
      <t>CM</t>
    </r>
    <r>
      <rPr>
        <sz val="9"/>
        <color theme="1"/>
        <rFont val="Helvetica"/>
      </rPr>
      <t xml:space="preserve"> for the </t>
    </r>
    <r>
      <rPr>
        <sz val="9"/>
        <color theme="1"/>
        <rFont val="Symbol"/>
        <family val="1"/>
        <charset val="2"/>
      </rPr>
      <t>l</t>
    </r>
    <r>
      <rPr>
        <sz val="9"/>
        <color theme="1"/>
        <rFont val="Helvetica"/>
      </rPr>
      <t xml:space="preserve">/4 monopole antenna with current </t>
    </r>
    <r>
      <rPr>
        <i/>
        <sz val="9"/>
        <color theme="1"/>
        <rFont val="Helvetica"/>
      </rPr>
      <t>I</t>
    </r>
    <r>
      <rPr>
        <i/>
        <vertAlign val="subscript"/>
        <sz val="9"/>
        <color theme="1"/>
        <rFont val="Helvetica"/>
      </rPr>
      <t>CM</t>
    </r>
  </si>
  <si>
    <t>Cable factor</t>
  </si>
  <si>
    <t>Calbe factor, necessary for the Imbalance Difference Method (IDM)</t>
  </si>
  <si>
    <r>
      <rPr>
        <b/>
        <i/>
        <sz val="9"/>
        <color theme="1"/>
        <rFont val="Helvetica"/>
      </rPr>
      <t>E</t>
    </r>
    <r>
      <rPr>
        <b/>
        <i/>
        <vertAlign val="subscript"/>
        <sz val="9"/>
        <color theme="1"/>
        <rFont val="Helvetica"/>
      </rPr>
      <t>CM,free-space</t>
    </r>
    <r>
      <rPr>
        <b/>
        <sz val="9"/>
        <color theme="1"/>
        <rFont val="Helvetica"/>
      </rPr>
      <t xml:space="preserve"> [V/m] [1]</t>
    </r>
  </si>
  <si>
    <r>
      <rPr>
        <b/>
        <i/>
        <sz val="9"/>
        <color theme="1"/>
        <rFont val="Calibri"/>
        <family val="2"/>
        <scheme val="minor"/>
      </rPr>
      <t>E</t>
    </r>
    <r>
      <rPr>
        <b/>
        <i/>
        <vertAlign val="subscript"/>
        <sz val="9"/>
        <color theme="1"/>
        <rFont val="Calibri"/>
        <family val="2"/>
        <scheme val="minor"/>
      </rPr>
      <t>CM</t>
    </r>
    <r>
      <rPr>
        <b/>
        <vertAlign val="subscript"/>
        <sz val="9"/>
        <color theme="1"/>
        <rFont val="Calibri"/>
        <family val="2"/>
        <scheme val="minor"/>
      </rPr>
      <t>,free-space</t>
    </r>
    <r>
      <rPr>
        <b/>
        <sz val="9"/>
        <color theme="1"/>
        <rFont val="Calibri"/>
        <family val="2"/>
        <scheme val="minor"/>
      </rPr>
      <t xml:space="preserve"> [dBuV/m] [1]</t>
    </r>
  </si>
  <si>
    <r>
      <rPr>
        <b/>
        <i/>
        <sz val="9"/>
        <color theme="1"/>
        <rFont val="Helvetica"/>
      </rPr>
      <t>E</t>
    </r>
    <r>
      <rPr>
        <b/>
        <i/>
        <vertAlign val="subscript"/>
        <sz val="9"/>
        <color theme="1"/>
        <rFont val="Helvetica"/>
      </rPr>
      <t>CM,semi-anechoic</t>
    </r>
    <r>
      <rPr>
        <b/>
        <sz val="9"/>
        <color theme="1"/>
        <rFont val="Helvetica"/>
      </rPr>
      <t xml:space="preserve"> [V/m] [2]</t>
    </r>
  </si>
  <si>
    <r>
      <rPr>
        <b/>
        <i/>
        <sz val="9"/>
        <color theme="1"/>
        <rFont val="Helvetica"/>
      </rPr>
      <t>E</t>
    </r>
    <r>
      <rPr>
        <b/>
        <i/>
        <vertAlign val="subscript"/>
        <sz val="9"/>
        <color theme="1"/>
        <rFont val="Helvetica"/>
      </rPr>
      <t>CM,semi-anechoic</t>
    </r>
    <r>
      <rPr>
        <b/>
        <sz val="9"/>
        <color theme="1"/>
        <rFont val="Helvetica"/>
      </rPr>
      <t xml:space="preserve"> [dBuV/m] [2]</t>
    </r>
  </si>
  <si>
    <r>
      <rPr>
        <b/>
        <i/>
        <sz val="9"/>
        <color theme="1"/>
        <rFont val="Helvetica"/>
      </rPr>
      <t>E</t>
    </r>
    <r>
      <rPr>
        <b/>
        <i/>
        <vertAlign val="subscript"/>
        <sz val="9"/>
        <color theme="1"/>
        <rFont val="Helvetica"/>
      </rPr>
      <t>CM,semi-anechoic,max</t>
    </r>
    <r>
      <rPr>
        <b/>
        <sz val="9"/>
        <color theme="1"/>
        <rFont val="Helvetica"/>
      </rPr>
      <t xml:space="preserve"> [V/m] [1]</t>
    </r>
  </si>
  <si>
    <r>
      <rPr>
        <b/>
        <i/>
        <sz val="9"/>
        <color theme="1"/>
        <rFont val="Helvetica"/>
      </rPr>
      <t>E</t>
    </r>
    <r>
      <rPr>
        <b/>
        <i/>
        <vertAlign val="subscript"/>
        <sz val="9"/>
        <color theme="1"/>
        <rFont val="Helvetica"/>
      </rPr>
      <t>CM,semi-anechoic,max</t>
    </r>
    <r>
      <rPr>
        <b/>
        <sz val="9"/>
        <color theme="1"/>
        <rFont val="Helvetica"/>
      </rPr>
      <t xml:space="preserve"> [dBuV/m] [1]</t>
    </r>
  </si>
  <si>
    <r>
      <t xml:space="preserve">Cable length </t>
    </r>
    <r>
      <rPr>
        <b/>
        <i/>
        <sz val="9"/>
        <color theme="1"/>
        <rFont val="Helvetica"/>
      </rPr>
      <t>l</t>
    </r>
    <r>
      <rPr>
        <b/>
        <sz val="9"/>
        <color theme="1"/>
        <rFont val="Helvetica"/>
      </rPr>
      <t xml:space="preserve"> &lt; </t>
    </r>
    <r>
      <rPr>
        <b/>
        <sz val="9"/>
        <color theme="1"/>
        <rFont val="Symbol"/>
        <family val="1"/>
        <charset val="2"/>
      </rPr>
      <t>l</t>
    </r>
    <r>
      <rPr>
        <b/>
        <sz val="9"/>
        <color theme="1"/>
        <rFont val="Helvetica"/>
      </rPr>
      <t>/4.</t>
    </r>
  </si>
  <si>
    <r>
      <t xml:space="preserve">Cable connected to PCB and
infinite ground plane.
Any cable length </t>
    </r>
    <r>
      <rPr>
        <b/>
        <i/>
        <sz val="9"/>
        <color theme="1"/>
        <rFont val="Helvetica"/>
      </rPr>
      <t>l</t>
    </r>
    <r>
      <rPr>
        <b/>
        <sz val="9"/>
        <color theme="1"/>
        <rFont val="Helvetica"/>
      </rPr>
      <t>.</t>
    </r>
  </si>
  <si>
    <r>
      <t xml:space="preserve">Cable at maximum resonance!
Cable length </t>
    </r>
    <r>
      <rPr>
        <b/>
        <i/>
        <sz val="9"/>
        <color theme="1"/>
        <rFont val="Helvetica"/>
      </rPr>
      <t xml:space="preserve">l </t>
    </r>
    <r>
      <rPr>
        <b/>
        <sz val="9"/>
        <color theme="1"/>
        <rFont val="Helvetica"/>
      </rPr>
      <t>= n</t>
    </r>
    <r>
      <rPr>
        <b/>
        <sz val="9"/>
        <color theme="1"/>
        <rFont val="Symbol"/>
        <family val="1"/>
        <charset val="2"/>
      </rPr>
      <t>l</t>
    </r>
    <r>
      <rPr>
        <b/>
        <sz val="9"/>
        <color theme="1"/>
        <rFont val="Helvetica"/>
      </rPr>
      <t>/4.</t>
    </r>
  </si>
  <si>
    <t>43.5</t>
  </si>
  <si>
    <t>2.00.00.2022</t>
  </si>
  <si>
    <t>2022-Dec-30</t>
  </si>
  <si>
    <t>Shielding theory</t>
  </si>
  <si>
    <t>[1] Sergei Alexander Schelkunoff. Electromagnetic Waves. D. van Nostrand Company Inc., 1943, pp. 303–312.</t>
  </si>
  <si>
    <t>Specific conductivity [S/m] of the shield.</t>
  </si>
  <si>
    <t>Thickness t</t>
  </si>
  <si>
    <t>Thickness of the shield.</t>
  </si>
  <si>
    <t>Relative permeability of the conductor or shield material.</t>
  </si>
  <si>
    <t>Frequency [Hz]</t>
  </si>
  <si>
    <t>Skin depth [m]</t>
  </si>
  <si>
    <t>R [dB]</t>
  </si>
  <si>
    <t>A [dB]</t>
  </si>
  <si>
    <t>M [dB]</t>
  </si>
  <si>
    <t>Total [dB]</t>
  </si>
  <si>
    <t>0.1</t>
  </si>
  <si>
    <r>
      <t xml:space="preserve">Shielding of electromagnetic waves is usually achieved by:
- </t>
    </r>
    <r>
      <rPr>
        <b/>
        <sz val="9"/>
        <color theme="1"/>
        <rFont val="Helvetica-Normal"/>
      </rPr>
      <t>Reflection</t>
    </r>
    <r>
      <rPr>
        <sz val="9"/>
        <color theme="1"/>
        <rFont val="Helvetica-Normal"/>
      </rPr>
      <t xml:space="preserve">. Let us suppose an electromagnetic wave that impinges on a shield with an intrinsic impedance ηs lower than the wave impedance Zw: |ηs| &lt; |Zw|. In that case, the E-field is partially reflected at the shield’s outer surface, and the H-field is partially reflected at the inner surface [1].
- </t>
    </r>
    <r>
      <rPr>
        <b/>
        <sz val="9"/>
        <color theme="1"/>
        <rFont val="Helvetica-Normal"/>
      </rPr>
      <t>Absorption</t>
    </r>
    <r>
      <rPr>
        <sz val="9"/>
        <color theme="1"/>
        <rFont val="Helvetica-Normal"/>
      </rPr>
      <t>. When an electromagnetic wave propagates through a lossy media (like a good conductor with α &gt; 0), the amplitudes of the electric E-field and the magnetic H-field decrease exponentially with e^(</t>
    </r>
    <r>
      <rPr>
        <sz val="9"/>
        <color theme="1"/>
        <rFont val="Arial"/>
        <family val="2"/>
      </rPr>
      <t>−α</t>
    </r>
    <r>
      <rPr>
        <sz val="9"/>
        <color theme="1"/>
        <rFont val="Helvetica-Normal"/>
      </rPr>
      <t>t), where α [1/m] is the attenuation coefficient and t [m] the shield thickness [1].</t>
    </r>
  </si>
  <si>
    <r>
      <rPr>
        <b/>
        <sz val="9"/>
        <color theme="1"/>
        <rFont val="Helvetica-Normal"/>
      </rPr>
      <t>Assumptions:</t>
    </r>
    <r>
      <rPr>
        <sz val="9"/>
        <color theme="1"/>
        <rFont val="Helvetica-Normal"/>
      </rPr>
      <t xml:space="preserve"> The shiesling effectiveness is calculated in this sheet for a plane wave in the far-field. The medium before and after the shield is air.</t>
    </r>
  </si>
  <si>
    <t>Common current along the short cable.</t>
  </si>
  <si>
    <r>
      <rPr>
        <b/>
        <sz val="9"/>
        <color theme="1"/>
        <rFont val="Helvetica-Normal"/>
      </rPr>
      <t>Assumptions:</t>
    </r>
    <r>
      <rPr>
        <sz val="9"/>
        <color theme="1"/>
        <rFont val="Helvetica-Normal"/>
      </rPr>
      <t xml:space="preserve"> Distance </t>
    </r>
    <r>
      <rPr>
        <i/>
        <sz val="9"/>
        <color theme="1"/>
        <rFont val="Helvetica-Normal"/>
      </rPr>
      <t>d</t>
    </r>
    <r>
      <rPr>
        <sz val="9"/>
        <color theme="1"/>
        <rFont val="Helvetica-Normal"/>
      </rPr>
      <t xml:space="preserve"> = in the far-field.</t>
    </r>
  </si>
  <si>
    <r>
      <t xml:space="preserve">Cable length </t>
    </r>
    <r>
      <rPr>
        <i/>
        <sz val="9"/>
        <color theme="1"/>
        <rFont val="Helvetica"/>
      </rPr>
      <t>l</t>
    </r>
  </si>
  <si>
    <r>
      <rPr>
        <b/>
        <i/>
        <sz val="9"/>
        <color theme="1"/>
        <rFont val="Helvetica"/>
      </rPr>
      <t>E</t>
    </r>
    <r>
      <rPr>
        <b/>
        <sz val="9"/>
        <color theme="1"/>
        <rFont val="Helvetica"/>
      </rPr>
      <t xml:space="preserve"> in free-space [1]</t>
    </r>
  </si>
  <si>
    <r>
      <rPr>
        <b/>
        <i/>
        <sz val="9"/>
        <color theme="1"/>
        <rFont val="Helvetica"/>
      </rPr>
      <t>E</t>
    </r>
    <r>
      <rPr>
        <b/>
        <sz val="9"/>
        <color theme="1"/>
        <rFont val="Helvetica"/>
      </rPr>
      <t xml:space="preserve"> in semi-anechoic chamber (reflective ground plane) [2]</t>
    </r>
  </si>
  <si>
    <r>
      <rPr>
        <b/>
        <i/>
        <sz val="9"/>
        <color theme="1"/>
        <rFont val="Helvetica"/>
      </rPr>
      <t>E</t>
    </r>
    <r>
      <rPr>
        <b/>
        <i/>
        <vertAlign val="subscript"/>
        <sz val="9"/>
        <color theme="1"/>
        <rFont val="Helvetica"/>
      </rPr>
      <t>max</t>
    </r>
    <r>
      <rPr>
        <b/>
        <sz val="9"/>
        <color theme="1"/>
        <rFont val="Helvetica"/>
      </rPr>
      <t xml:space="preserve"> in free-space [1]</t>
    </r>
  </si>
  <si>
    <r>
      <rPr>
        <b/>
        <i/>
        <sz val="9"/>
        <color theme="1"/>
        <rFont val="Helvetica"/>
      </rPr>
      <t>E</t>
    </r>
    <r>
      <rPr>
        <b/>
        <i/>
        <vertAlign val="subscript"/>
        <sz val="9"/>
        <color theme="1"/>
        <rFont val="Helvetica"/>
      </rPr>
      <t>max</t>
    </r>
    <r>
      <rPr>
        <b/>
        <sz val="9"/>
        <color theme="1"/>
        <rFont val="Helvetica"/>
      </rPr>
      <t xml:space="preserve"> in semi-anechoic chamber (reflective ground plane) [1]</t>
    </r>
  </si>
  <si>
    <r>
      <t>E</t>
    </r>
    <r>
      <rPr>
        <b/>
        <i/>
        <vertAlign val="subscript"/>
        <sz val="9"/>
        <color theme="1"/>
        <rFont val="Helvetica"/>
      </rPr>
      <t>max</t>
    </r>
    <r>
      <rPr>
        <b/>
        <sz val="9"/>
        <color theme="1"/>
        <rFont val="Helvetica"/>
      </rPr>
      <t xml:space="preserve"> [3]</t>
    </r>
  </si>
  <si>
    <r>
      <rPr>
        <b/>
        <i/>
        <sz val="9"/>
        <color theme="1"/>
        <rFont val="Helvetica"/>
      </rPr>
      <t>E</t>
    </r>
    <r>
      <rPr>
        <b/>
        <i/>
        <vertAlign val="subscript"/>
        <sz val="9"/>
        <color theme="1"/>
        <rFont val="Helvetica"/>
      </rPr>
      <t>CM</t>
    </r>
    <r>
      <rPr>
        <b/>
        <vertAlign val="subscript"/>
        <sz val="9"/>
        <color theme="1"/>
        <rFont val="Helvetica"/>
      </rPr>
      <t>-IDM-max</t>
    </r>
    <r>
      <rPr>
        <b/>
        <sz val="9"/>
        <color theme="1"/>
        <rFont val="Helvetica"/>
      </rPr>
      <t xml:space="preserve"> [V/m] [3]</t>
    </r>
  </si>
  <si>
    <t>1.00.00.2022</t>
  </si>
  <si>
    <r>
      <t xml:space="preserve">Attention: For some estimations, cable should be shorter than that </t>
    </r>
    <r>
      <rPr>
        <sz val="9"/>
        <color theme="1"/>
        <rFont val="Symbol"/>
        <family val="1"/>
        <charset val="2"/>
      </rPr>
      <t>l</t>
    </r>
    <r>
      <rPr>
        <sz val="9"/>
        <color theme="1"/>
        <rFont val="Helvetica"/>
      </rPr>
      <t>/4.</t>
    </r>
  </si>
  <si>
    <r>
      <rPr>
        <b/>
        <sz val="9"/>
        <color theme="1"/>
        <rFont val="Helvetica-Normal"/>
      </rPr>
      <t>Assumptions:</t>
    </r>
    <r>
      <rPr>
        <sz val="9"/>
        <color theme="1"/>
        <rFont val="Helvetica-Normal"/>
      </rPr>
      <t xml:space="preserve"> (1)Distance </t>
    </r>
    <r>
      <rPr>
        <i/>
        <sz val="9"/>
        <color theme="1"/>
        <rFont val="Helvetica-Normal"/>
      </rPr>
      <t>d</t>
    </r>
    <r>
      <rPr>
        <sz val="9"/>
        <color theme="1"/>
        <rFont val="Helvetica-Normal"/>
      </rPr>
      <t xml:space="preserve"> = in the far-field. (2) Current loop circumference &lt; </t>
    </r>
    <r>
      <rPr>
        <i/>
        <sz val="9"/>
        <color theme="1"/>
        <rFont val="Symbol"/>
        <family val="1"/>
        <charset val="2"/>
      </rPr>
      <t>l</t>
    </r>
    <r>
      <rPr>
        <sz val="9"/>
        <color theme="1"/>
        <rFont val="Helvetica-Normal"/>
      </rPr>
      <t>/4.</t>
    </r>
  </si>
  <si>
    <r>
      <t xml:space="preserve">Calculation of the wavelength </t>
    </r>
    <r>
      <rPr>
        <i/>
        <sz val="9"/>
        <color theme="1"/>
        <rFont val="Symbol"/>
        <family val="1"/>
        <charset val="2"/>
      </rPr>
      <t>l</t>
    </r>
    <r>
      <rPr>
        <sz val="9"/>
        <color theme="1"/>
        <rFont val="Helvetica-Normal"/>
      </rPr>
      <t xml:space="preserve"> for a given frequency </t>
    </r>
    <r>
      <rPr>
        <i/>
        <sz val="9"/>
        <color theme="1"/>
        <rFont val="Helvetica-Normal"/>
      </rPr>
      <t>f</t>
    </r>
    <r>
      <rPr>
        <sz val="9"/>
        <color theme="1"/>
        <rFont val="Helvetica-Normal"/>
      </rPr>
      <t xml:space="preserve"> and vice versa of an electromagnetic wave in a media with </t>
    </r>
    <r>
      <rPr>
        <sz val="9"/>
        <color theme="1"/>
        <rFont val="Symbol"/>
        <family val="1"/>
        <charset val="2"/>
      </rPr>
      <t>e</t>
    </r>
    <r>
      <rPr>
        <vertAlign val="subscript"/>
        <sz val="9"/>
        <color theme="1"/>
        <rFont val="Helvetica-Normal"/>
      </rPr>
      <t>r</t>
    </r>
    <r>
      <rPr>
        <sz val="9"/>
        <color theme="1"/>
        <rFont val="Helvetica-Normal"/>
      </rPr>
      <t xml:space="preserve"> and </t>
    </r>
    <r>
      <rPr>
        <sz val="9"/>
        <color theme="1"/>
        <rFont val="Symbol"/>
        <family val="1"/>
        <charset val="2"/>
      </rPr>
      <t>m</t>
    </r>
    <r>
      <rPr>
        <vertAlign val="subscript"/>
        <sz val="9"/>
        <color theme="1"/>
        <rFont val="Helvetica-Normal"/>
      </rPr>
      <t>r</t>
    </r>
    <r>
      <rPr>
        <sz val="9"/>
        <color theme="1"/>
        <rFont val="Helvetica-Normal"/>
      </rPr>
      <t>.</t>
    </r>
  </si>
  <si>
    <r>
      <rPr>
        <b/>
        <i/>
        <sz val="9"/>
        <color theme="1"/>
        <rFont val="Helvetica-Normal"/>
      </rPr>
      <t>V</t>
    </r>
    <r>
      <rPr>
        <b/>
        <i/>
        <vertAlign val="subscript"/>
        <sz val="9"/>
        <color theme="1"/>
        <rFont val="Helvetica-Normal"/>
      </rPr>
      <t>DM</t>
    </r>
    <r>
      <rPr>
        <b/>
        <i/>
        <sz val="9"/>
        <color theme="1"/>
        <rFont val="Helvetica-Normal"/>
      </rPr>
      <t>, Z</t>
    </r>
    <r>
      <rPr>
        <b/>
        <sz val="9"/>
        <color theme="1"/>
        <rFont val="Helvetica-Normal"/>
      </rPr>
      <t xml:space="preserve"> are known (Hubing)</t>
    </r>
  </si>
  <si>
    <t>Effective value of the differential voltage of small current loop (of the sinusoidal harmonic)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</si>
</sst>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000"/>
    <numFmt numFmtId="167" formatCode="0.000"/>
    <numFmt numFmtId="168" formatCode="#,##0.0"/>
    <numFmt numFmtId="169" formatCode="#,##0.000"/>
    <numFmt numFmtId="170" formatCode="0.00000"/>
  </numFmts>
  <fonts count="74">
    <font>
      <sz val="11"/>
      <color theme="1"/>
      <name val="Calibri"/>
      <family val="2"/>
      <scheme val="minor"/>
    </font>
    <font>
      <b/>
      <sz val="9"/>
      <color theme="1"/>
      <name val="Helvetica-Normal"/>
    </font>
    <font>
      <sz val="9"/>
      <color theme="1"/>
      <name val="Helvetica-Normal"/>
    </font>
    <font>
      <i/>
      <sz val="9"/>
      <color theme="1"/>
      <name val="Helvetica-Normal"/>
    </font>
    <font>
      <sz val="9"/>
      <color theme="1"/>
      <name val="Symbol"/>
      <family val="1"/>
      <charset val="2"/>
    </font>
    <font>
      <vertAlign val="subscript"/>
      <sz val="9"/>
      <color theme="1"/>
      <name val="Helvetica-Normal"/>
    </font>
    <font>
      <vertAlign val="superscript"/>
      <sz val="9"/>
      <color theme="1"/>
      <name val="Helvetica-Normal"/>
    </font>
    <font>
      <i/>
      <vertAlign val="subscript"/>
      <sz val="9"/>
      <color theme="1"/>
      <name val="Helvetica-Normal"/>
    </font>
    <font>
      <sz val="11"/>
      <color theme="1"/>
      <name val="Calibri"/>
      <family val="2"/>
      <scheme val="minor"/>
    </font>
    <font>
      <sz val="9"/>
      <color theme="1"/>
      <name val="Calibri"/>
      <family val="2"/>
      <scheme val="minor"/>
    </font>
    <font>
      <b/>
      <i/>
      <sz val="9"/>
      <color theme="1"/>
      <name val="Helvetica-Normal"/>
    </font>
    <font>
      <b/>
      <i/>
      <vertAlign val="subscript"/>
      <sz val="9"/>
      <color theme="1"/>
      <name val="Helvetica-Normal"/>
    </font>
    <font>
      <i/>
      <sz val="9"/>
      <color theme="1"/>
      <name val="Symbol"/>
      <family val="1"/>
      <charset val="2"/>
    </font>
    <font>
      <b/>
      <sz val="9"/>
      <color theme="1"/>
      <name val="Symbol"/>
      <family val="1"/>
      <charset val="2"/>
    </font>
    <font>
      <b/>
      <sz val="9"/>
      <color theme="1"/>
      <name val="Calibri"/>
      <family val="2"/>
      <scheme val="minor"/>
    </font>
    <font>
      <b/>
      <sz val="9"/>
      <color theme="1"/>
      <name val="Helvetica-Normal"/>
      <family val="1"/>
      <charset val="2"/>
    </font>
    <font>
      <sz val="8"/>
      <name val="Calibri"/>
      <family val="2"/>
      <scheme val="minor"/>
    </font>
    <font>
      <b/>
      <i/>
      <sz val="9"/>
      <color theme="1"/>
      <name val="Symbol"/>
      <family val="1"/>
      <charset val="2"/>
    </font>
    <font>
      <b/>
      <sz val="9"/>
      <color rgb="FF0066CC"/>
      <name val="Helvetica-Normal"/>
    </font>
    <font>
      <b/>
      <sz val="9"/>
      <color rgb="FF767171"/>
      <name val="Helvetica-Normal"/>
    </font>
    <font>
      <b/>
      <sz val="9"/>
      <color theme="5"/>
      <name val="Helvetica-Normal"/>
    </font>
    <font>
      <b/>
      <sz val="9"/>
      <name val="Helvetica-Normal"/>
    </font>
    <font>
      <b/>
      <sz val="9"/>
      <name val="Symbol"/>
      <family val="1"/>
      <charset val="2"/>
    </font>
    <font>
      <sz val="9"/>
      <color theme="1"/>
      <name val="Helvetica-Normal"/>
      <family val="1"/>
      <charset val="2"/>
    </font>
    <font>
      <sz val="9"/>
      <color rgb="FFFF0000"/>
      <name val="Calibri"/>
      <family val="2"/>
      <scheme val="minor"/>
    </font>
    <font>
      <b/>
      <sz val="9"/>
      <color rgb="FFFF0000"/>
      <name val="Helvetica-Normal"/>
    </font>
    <font>
      <b/>
      <sz val="9"/>
      <color rgb="FFFF0000"/>
      <name val="Calibri"/>
      <family val="2"/>
      <scheme val="minor"/>
    </font>
    <font>
      <sz val="9"/>
      <color rgb="FFFF0000"/>
      <name val="Helvetica-Normal"/>
    </font>
    <font>
      <sz val="7"/>
      <name val="Helvetica-Normal"/>
    </font>
    <font>
      <b/>
      <sz val="11"/>
      <color theme="1"/>
      <name val="Calibri"/>
      <family val="2"/>
      <scheme val="minor"/>
    </font>
    <font>
      <b/>
      <i/>
      <sz val="11"/>
      <color theme="1"/>
      <name val="Calibri"/>
      <family val="2"/>
      <scheme val="minor"/>
    </font>
    <font>
      <b/>
      <vertAlign val="subscript"/>
      <sz val="11"/>
      <color theme="1"/>
      <name val="Calibri"/>
      <family val="2"/>
      <scheme val="minor"/>
    </font>
    <font>
      <b/>
      <sz val="11"/>
      <color theme="1"/>
      <name val="Calibri"/>
      <family val="2"/>
    </font>
    <font>
      <sz val="7"/>
      <color theme="1"/>
      <name val="Helvetica-Normal"/>
    </font>
    <font>
      <b/>
      <vertAlign val="subscript"/>
      <sz val="9"/>
      <color theme="1"/>
      <name val="Helvetica-Normal"/>
    </font>
    <font>
      <sz val="10"/>
      <color theme="1"/>
      <name val="Arial"/>
      <family val="2"/>
    </font>
    <font>
      <b/>
      <sz val="9"/>
      <color theme="1"/>
      <name val="Arial"/>
      <family val="2"/>
    </font>
    <font>
      <sz val="9"/>
      <color theme="1"/>
      <name val="Arial"/>
      <family val="2"/>
    </font>
    <font>
      <sz val="9"/>
      <name val="Helvetica-Normal"/>
    </font>
    <font>
      <sz val="9"/>
      <name val="Calibri"/>
      <family val="2"/>
      <scheme val="minor"/>
    </font>
    <font>
      <sz val="9"/>
      <name val="Symbol"/>
      <family val="1"/>
      <charset val="2"/>
    </font>
    <font>
      <vertAlign val="subscript"/>
      <sz val="9"/>
      <name val="Helvetica-Normal"/>
    </font>
    <font>
      <i/>
      <sz val="9"/>
      <name val="Helvetica-Normal"/>
    </font>
    <font>
      <sz val="9"/>
      <name val="Arial"/>
      <family val="2"/>
    </font>
    <font>
      <b/>
      <sz val="8"/>
      <color theme="1"/>
      <name val="Calibri"/>
      <family val="2"/>
      <scheme val="minor"/>
    </font>
    <font>
      <b/>
      <vertAlign val="subscript"/>
      <sz val="8"/>
      <color theme="1"/>
      <name val="Calibri"/>
      <family val="2"/>
      <scheme val="minor"/>
    </font>
    <font>
      <sz val="8"/>
      <color theme="1"/>
      <name val="Calibri"/>
      <family val="2"/>
      <scheme val="minor"/>
    </font>
    <font>
      <u/>
      <sz val="11"/>
      <color theme="10"/>
      <name val="Calibri"/>
      <family val="2"/>
      <scheme val="minor"/>
    </font>
    <font>
      <b/>
      <sz val="12"/>
      <color theme="1"/>
      <name val="Calibri"/>
      <family val="2"/>
      <scheme val="minor"/>
    </font>
    <font>
      <b/>
      <sz val="12"/>
      <color theme="1"/>
      <name val="Symbol"/>
      <family val="1"/>
      <charset val="2"/>
    </font>
    <font>
      <b/>
      <vertAlign val="subscript"/>
      <sz val="12"/>
      <color theme="1"/>
      <name val="Calibri"/>
      <family val="2"/>
      <scheme val="minor"/>
    </font>
    <font>
      <sz val="12"/>
      <color theme="1"/>
      <name val="Calibri"/>
      <family val="2"/>
    </font>
    <font>
      <b/>
      <sz val="8"/>
      <color theme="1"/>
      <name val="Symbol"/>
      <family val="1"/>
      <charset val="2"/>
    </font>
    <font>
      <sz val="8"/>
      <color theme="1"/>
      <name val="Symbol"/>
      <family val="1"/>
      <charset val="2"/>
    </font>
    <font>
      <b/>
      <sz val="11"/>
      <color theme="1"/>
      <name val="Symbol"/>
      <family val="1"/>
      <charset val="2"/>
    </font>
    <font>
      <b/>
      <sz val="11"/>
      <color theme="1"/>
      <name val="Calibri"/>
      <family val="1"/>
      <charset val="2"/>
      <scheme val="minor"/>
    </font>
    <font>
      <b/>
      <sz val="11"/>
      <color theme="1"/>
      <name val="Helvetica"/>
    </font>
    <font>
      <b/>
      <vertAlign val="superscript"/>
      <sz val="11"/>
      <color theme="1"/>
      <name val="Calibri"/>
      <family val="2"/>
      <scheme val="minor"/>
    </font>
    <font>
      <b/>
      <vertAlign val="subscript"/>
      <sz val="11"/>
      <color theme="1"/>
      <name val="Helvetica"/>
    </font>
    <font>
      <b/>
      <vertAlign val="superscript"/>
      <sz val="11"/>
      <color theme="1"/>
      <name val="Helvetica"/>
    </font>
    <font>
      <sz val="11"/>
      <color theme="1"/>
      <name val="Helvetica"/>
    </font>
    <font>
      <b/>
      <sz val="14"/>
      <name val="Helvetica-Normal"/>
    </font>
    <font>
      <b/>
      <sz val="14"/>
      <color theme="1"/>
      <name val="Helvetica-Normal"/>
    </font>
    <font>
      <vertAlign val="subscript"/>
      <sz val="9"/>
      <color theme="1"/>
      <name val="Calibri"/>
      <family val="2"/>
      <scheme val="minor"/>
    </font>
    <font>
      <sz val="9"/>
      <color theme="1"/>
      <name val="Helvetica"/>
    </font>
    <font>
      <b/>
      <vertAlign val="subscript"/>
      <sz val="9"/>
      <color theme="1"/>
      <name val="Calibri"/>
      <family val="2"/>
      <scheme val="minor"/>
    </font>
    <font>
      <i/>
      <sz val="9"/>
      <color theme="1"/>
      <name val="Helvetica"/>
    </font>
    <font>
      <i/>
      <vertAlign val="subscript"/>
      <sz val="9"/>
      <color theme="1"/>
      <name val="Helvetica"/>
    </font>
    <font>
      <b/>
      <i/>
      <sz val="9"/>
      <color theme="1"/>
      <name val="Calibri"/>
      <family val="2"/>
      <scheme val="minor"/>
    </font>
    <font>
      <b/>
      <i/>
      <vertAlign val="subscript"/>
      <sz val="9"/>
      <color theme="1"/>
      <name val="Calibri"/>
      <family val="2"/>
      <scheme val="minor"/>
    </font>
    <font>
      <b/>
      <sz val="9"/>
      <color theme="1"/>
      <name val="Helvetica"/>
    </font>
    <font>
      <b/>
      <i/>
      <sz val="9"/>
      <color theme="1"/>
      <name val="Helvetica"/>
    </font>
    <font>
      <b/>
      <i/>
      <vertAlign val="subscript"/>
      <sz val="9"/>
      <color theme="1"/>
      <name val="Helvetica"/>
    </font>
    <font>
      <b/>
      <vertAlign val="subscript"/>
      <sz val="9"/>
      <color theme="1"/>
      <name val="Helvetica"/>
    </font>
  </fonts>
  <fills count="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theme="2" tint="-0.24994659260841701"/>
      </top>
      <bottom style="thin">
        <color theme="2" tint="-0.24994659260841701"/>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2" tint="-0.24994659260841701"/>
      </top>
      <bottom style="thin">
        <color theme="2" tint="-0.24994659260841701"/>
      </bottom>
      <diagonal/>
    </border>
    <border>
      <left style="thin">
        <color theme="2" tint="-0.24994659260841701"/>
      </left>
      <right style="thin">
        <color theme="2" tint="-0.24994659260841701"/>
      </right>
      <top style="thin">
        <color indexed="64"/>
      </top>
      <bottom style="thin">
        <color indexed="64"/>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indexed="64"/>
      </top>
      <bottom style="thin">
        <color indexed="64"/>
      </bottom>
      <diagonal/>
    </border>
    <border>
      <left style="thin">
        <color theme="2" tint="-0.24994659260841701"/>
      </left>
      <right/>
      <top/>
      <bottom/>
      <diagonal/>
    </border>
    <border>
      <left style="thin">
        <color theme="2" tint="-0.24994659260841701"/>
      </left>
      <right/>
      <top style="thin">
        <color theme="2" tint="-0.24994659260841701"/>
      </top>
      <bottom style="thin">
        <color theme="2" tint="-0.24994659260841701"/>
      </bottom>
      <diagonal/>
    </border>
    <border>
      <left/>
      <right/>
      <top style="thin">
        <color indexed="64"/>
      </top>
      <bottom/>
      <diagonal/>
    </border>
    <border>
      <left style="thin">
        <color indexed="64"/>
      </left>
      <right/>
      <top style="thin">
        <color theme="2" tint="-0.24994659260841701"/>
      </top>
      <bottom style="thin">
        <color theme="2" tint="-0.24994659260841701"/>
      </bottom>
      <diagonal/>
    </border>
    <border>
      <left/>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2" tint="-0.24994659260841701"/>
      </top>
      <bottom style="thin">
        <color theme="2" tint="-0.24994659260841701"/>
      </bottom>
      <diagonal/>
    </border>
  </borders>
  <cellStyleXfs count="3">
    <xf numFmtId="0" fontId="0" fillId="0" borderId="0"/>
    <xf numFmtId="164" fontId="8" fillId="0" borderId="0" applyFont="0" applyFill="0" applyBorder="0" applyAlignment="0" applyProtection="0"/>
    <xf numFmtId="0" fontId="47" fillId="0" borderId="0" applyNumberFormat="0" applyFill="0" applyBorder="0" applyAlignment="0" applyProtection="0"/>
  </cellStyleXfs>
  <cellXfs count="350">
    <xf numFmtId="0" fontId="0" fillId="0" borderId="0" xfId="0"/>
    <xf numFmtId="0" fontId="2" fillId="0" borderId="0" xfId="0" applyFont="1"/>
    <xf numFmtId="0" fontId="2" fillId="0" borderId="0" xfId="0" applyFont="1" applyAlignment="1">
      <alignment horizontal="center" vertical="center"/>
    </xf>
    <xf numFmtId="0" fontId="2" fillId="0" borderId="4" xfId="1" applyNumberFormat="1" applyFont="1" applyBorder="1" applyAlignment="1" applyProtection="1">
      <alignment horizontal="center" vertical="center"/>
    </xf>
    <xf numFmtId="0" fontId="2" fillId="2" borderId="0" xfId="0" applyFont="1" applyFill="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0" fontId="9" fillId="0" borderId="0" xfId="0" applyFont="1"/>
    <xf numFmtId="0" fontId="2" fillId="2" borderId="6" xfId="0" applyFont="1" applyFill="1" applyBorder="1" applyAlignment="1">
      <alignment horizontal="center" vertical="center"/>
    </xf>
    <xf numFmtId="49" fontId="1" fillId="3" borderId="0" xfId="0" applyNumberFormat="1" applyFont="1" applyFill="1" applyAlignment="1" applyProtection="1">
      <alignment horizontal="center" vertical="center"/>
      <protection locked="0"/>
    </xf>
    <xf numFmtId="0" fontId="2" fillId="3" borderId="0" xfId="0" applyFont="1" applyFill="1" applyProtection="1">
      <protection locked="0"/>
    </xf>
    <xf numFmtId="0" fontId="2" fillId="2" borderId="0" xfId="0" applyFont="1" applyFill="1"/>
    <xf numFmtId="0" fontId="2" fillId="0" borderId="8" xfId="0" applyFont="1" applyBorder="1" applyAlignment="1">
      <alignment horizontal="left" vertical="center"/>
    </xf>
    <xf numFmtId="0" fontId="2" fillId="0" borderId="4" xfId="0" applyFont="1" applyBorder="1" applyAlignment="1">
      <alignment horizontal="left" vertical="center"/>
    </xf>
    <xf numFmtId="0" fontId="9" fillId="0" borderId="1" xfId="0" applyFont="1" applyBorder="1"/>
    <xf numFmtId="0" fontId="2" fillId="2" borderId="4" xfId="0" applyFont="1" applyFill="1" applyBorder="1" applyAlignment="1">
      <alignment horizontal="center" vertical="center"/>
    </xf>
    <xf numFmtId="0" fontId="1" fillId="0" borderId="1" xfId="0" applyFont="1" applyBorder="1" applyAlignment="1" applyProtection="1">
      <alignment vertical="center"/>
      <protection locked="0"/>
    </xf>
    <xf numFmtId="49" fontId="2" fillId="0" borderId="0" xfId="0" applyNumberFormat="1" applyFont="1" applyAlignment="1">
      <alignment horizontal="center" vertical="center"/>
    </xf>
    <xf numFmtId="49" fontId="2" fillId="0" borderId="4" xfId="0" applyNumberFormat="1" applyFont="1" applyBorder="1" applyAlignment="1">
      <alignment horizontal="center" vertical="center"/>
    </xf>
    <xf numFmtId="0" fontId="14" fillId="0" borderId="0" xfId="0" applyFont="1"/>
    <xf numFmtId="49" fontId="1" fillId="3" borderId="1" xfId="0" applyNumberFormat="1" applyFont="1" applyFill="1" applyBorder="1" applyAlignment="1" applyProtection="1">
      <alignment horizontal="center" vertical="center"/>
      <protection locked="0"/>
    </xf>
    <xf numFmtId="11" fontId="2" fillId="0" borderId="0" xfId="0" applyNumberFormat="1" applyFont="1" applyAlignment="1" applyProtection="1">
      <alignment vertical="center"/>
      <protection locked="0"/>
    </xf>
    <xf numFmtId="11" fontId="2" fillId="0" borderId="0" xfId="0" applyNumberFormat="1" applyFont="1" applyAlignment="1" applyProtection="1">
      <alignment horizontal="center" vertical="center"/>
      <protection locked="0"/>
    </xf>
    <xf numFmtId="49" fontId="9" fillId="0" borderId="0" xfId="0" applyNumberFormat="1" applyFont="1"/>
    <xf numFmtId="0" fontId="2" fillId="0" borderId="0" xfId="0" applyFont="1" applyAlignment="1" applyProtection="1">
      <alignment horizontal="left"/>
      <protection locked="0"/>
    </xf>
    <xf numFmtId="0" fontId="1" fillId="0" borderId="7" xfId="0" applyFont="1" applyBorder="1" applyAlignment="1" applyProtection="1">
      <alignment horizontal="left" vertical="center"/>
      <protection locked="0"/>
    </xf>
    <xf numFmtId="0" fontId="1" fillId="0" borderId="7" xfId="0" applyFont="1" applyBorder="1" applyAlignment="1" applyProtection="1">
      <alignment horizontal="left"/>
      <protection locked="0"/>
    </xf>
    <xf numFmtId="165" fontId="2" fillId="3" borderId="8" xfId="0" applyNumberFormat="1"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49" fontId="2" fillId="3" borderId="0" xfId="0" applyNumberFormat="1" applyFont="1" applyFill="1" applyAlignment="1" applyProtection="1">
      <alignment horizontal="right" vertical="center"/>
      <protection locked="0"/>
    </xf>
    <xf numFmtId="49" fontId="2" fillId="3" borderId="8" xfId="0" applyNumberFormat="1" applyFont="1" applyFill="1" applyBorder="1" applyAlignment="1" applyProtection="1">
      <alignment horizontal="left" vertical="center"/>
      <protection locked="0"/>
    </xf>
    <xf numFmtId="49" fontId="9" fillId="0" borderId="1" xfId="0" applyNumberFormat="1" applyFont="1" applyBorder="1"/>
    <xf numFmtId="0" fontId="24" fillId="0" borderId="0" xfId="0" applyFont="1"/>
    <xf numFmtId="0" fontId="26" fillId="0" borderId="0" xfId="0" applyFont="1"/>
    <xf numFmtId="0" fontId="27" fillId="0" borderId="0" xfId="0" applyFont="1"/>
    <xf numFmtId="0" fontId="2" fillId="0" borderId="6" xfId="0" applyFont="1" applyBorder="1" applyAlignment="1">
      <alignment horizontal="left" vertical="center"/>
    </xf>
    <xf numFmtId="0" fontId="1" fillId="0" borderId="0" xfId="0" applyFont="1"/>
    <xf numFmtId="0" fontId="9" fillId="0" borderId="2" xfId="0" applyFont="1" applyBorder="1"/>
    <xf numFmtId="0" fontId="2" fillId="0" borderId="2" xfId="0" applyFont="1" applyBorder="1"/>
    <xf numFmtId="0" fontId="14" fillId="0" borderId="1" xfId="0" applyFont="1" applyBorder="1"/>
    <xf numFmtId="2" fontId="2" fillId="0" borderId="0" xfId="0" applyNumberFormat="1" applyFont="1"/>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0" xfId="0" applyFont="1" applyAlignment="1">
      <alignment horizontal="left" vertical="center"/>
    </xf>
    <xf numFmtId="0" fontId="1" fillId="0" borderId="9" xfId="0" applyFont="1" applyBorder="1" applyAlignment="1">
      <alignment horizontal="left"/>
    </xf>
    <xf numFmtId="0" fontId="2" fillId="0" borderId="2" xfId="0" applyFont="1" applyBorder="1" applyAlignment="1">
      <alignment horizontal="center" vertical="center"/>
    </xf>
    <xf numFmtId="0" fontId="1" fillId="0" borderId="2" xfId="0" applyFont="1" applyBorder="1" applyAlignment="1">
      <alignment horizontal="left"/>
    </xf>
    <xf numFmtId="0" fontId="2" fillId="0" borderId="1" xfId="0" applyFont="1" applyBorder="1"/>
    <xf numFmtId="0" fontId="2" fillId="0" borderId="1" xfId="0" applyFont="1" applyBorder="1" applyAlignment="1">
      <alignment horizontal="center" vertical="center"/>
    </xf>
    <xf numFmtId="0" fontId="2" fillId="0" borderId="2"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left"/>
    </xf>
    <xf numFmtId="0" fontId="2" fillId="0" borderId="4" xfId="0" applyFont="1" applyBorder="1"/>
    <xf numFmtId="0" fontId="1" fillId="0" borderId="11" xfId="0" applyFont="1" applyBorder="1" applyAlignment="1">
      <alignment horizontal="left" vertical="center"/>
    </xf>
    <xf numFmtId="0" fontId="1" fillId="0" borderId="9" xfId="0" applyFont="1" applyBorder="1" applyAlignment="1">
      <alignment horizontal="left" vertical="center"/>
    </xf>
    <xf numFmtId="0" fontId="23" fillId="0" borderId="4" xfId="0" applyFont="1" applyBorder="1" applyAlignment="1">
      <alignment horizontal="left" vertical="center"/>
    </xf>
    <xf numFmtId="0" fontId="21" fillId="0" borderId="4" xfId="0" applyFont="1" applyBorder="1" applyAlignment="1">
      <alignment horizontal="center" vertical="center" wrapText="1"/>
    </xf>
    <xf numFmtId="0" fontId="1" fillId="0" borderId="2" xfId="0" applyFont="1" applyBorder="1" applyAlignment="1">
      <alignment horizontal="center" vertical="center"/>
    </xf>
    <xf numFmtId="0" fontId="15" fillId="0" borderId="2" xfId="0" applyFont="1" applyBorder="1" applyAlignment="1">
      <alignment horizontal="center" vertical="center"/>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Border="1" applyAlignment="1">
      <alignment horizontal="center" vertical="center" wrapText="1"/>
    </xf>
    <xf numFmtId="11" fontId="2" fillId="0" borderId="0" xfId="0" applyNumberFormat="1" applyFont="1" applyAlignment="1">
      <alignment horizontal="center" vertical="center"/>
    </xf>
    <xf numFmtId="0" fontId="2" fillId="0" borderId="4" xfId="0" applyFont="1" applyBorder="1" applyAlignment="1">
      <alignment horizontal="center"/>
    </xf>
    <xf numFmtId="49" fontId="2" fillId="0" borderId="4" xfId="0" applyNumberFormat="1" applyFont="1" applyBorder="1" applyAlignment="1">
      <alignment horizontal="center"/>
    </xf>
    <xf numFmtId="11" fontId="2" fillId="0" borderId="0" xfId="0" applyNumberFormat="1" applyFont="1" applyAlignment="1">
      <alignment horizontal="center"/>
    </xf>
    <xf numFmtId="0" fontId="2" fillId="0" borderId="0" xfId="0" applyFont="1" applyAlignment="1">
      <alignment horizontal="center"/>
    </xf>
    <xf numFmtId="11" fontId="2" fillId="0" borderId="0" xfId="0" applyNumberFormat="1" applyFont="1" applyAlignment="1">
      <alignment vertical="center"/>
    </xf>
    <xf numFmtId="0" fontId="1" fillId="0" borderId="3" xfId="0" applyFont="1" applyBorder="1" applyAlignment="1">
      <alignment horizontal="center"/>
    </xf>
    <xf numFmtId="0" fontId="1" fillId="0" borderId="1" xfId="0" applyFont="1" applyBorder="1" applyAlignment="1">
      <alignment vertical="center"/>
    </xf>
    <xf numFmtId="0" fontId="1" fillId="0" borderId="9" xfId="0" applyFont="1" applyBorder="1" applyAlignment="1">
      <alignment horizontal="center"/>
    </xf>
    <xf numFmtId="0" fontId="2" fillId="0" borderId="9" xfId="0" applyFont="1" applyBorder="1" applyAlignment="1">
      <alignment horizontal="left" vertical="center"/>
    </xf>
    <xf numFmtId="0" fontId="1" fillId="0" borderId="9" xfId="0" applyFont="1" applyBorder="1"/>
    <xf numFmtId="0" fontId="0" fillId="0" borderId="1" xfId="0" applyBorder="1"/>
    <xf numFmtId="0" fontId="1" fillId="0" borderId="5" xfId="0" applyFont="1" applyBorder="1" applyAlignment="1">
      <alignment horizontal="left" vertical="center"/>
    </xf>
    <xf numFmtId="0" fontId="1" fillId="0" borderId="2" xfId="0" applyFont="1" applyBorder="1" applyAlignment="1">
      <alignment vertical="center"/>
    </xf>
    <xf numFmtId="0" fontId="1" fillId="0" borderId="5"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1" fillId="0" borderId="7" xfId="0" applyFont="1" applyBorder="1" applyAlignment="1">
      <alignment horizontal="left"/>
    </xf>
    <xf numFmtId="0" fontId="28" fillId="0" borderId="0" xfId="0" applyFont="1" applyAlignment="1">
      <alignment horizontal="left" vertical="center" wrapText="1"/>
    </xf>
    <xf numFmtId="0" fontId="2" fillId="2" borderId="4" xfId="0" applyFont="1" applyFill="1" applyBorder="1"/>
    <xf numFmtId="0" fontId="28" fillId="0" borderId="0" xfId="0" applyFont="1" applyAlignment="1">
      <alignment vertical="center" wrapText="1"/>
    </xf>
    <xf numFmtId="11" fontId="23" fillId="0" borderId="8" xfId="0" applyNumberFormat="1" applyFont="1" applyBorder="1" applyAlignment="1">
      <alignment horizontal="left"/>
    </xf>
    <xf numFmtId="0" fontId="15" fillId="0" borderId="1" xfId="0" applyFont="1" applyBorder="1" applyAlignment="1">
      <alignment horizontal="center"/>
    </xf>
    <xf numFmtId="166" fontId="0" fillId="0" borderId="0" xfId="0" applyNumberFormat="1"/>
    <xf numFmtId="0" fontId="29" fillId="0" borderId="0" xfId="0" applyFont="1"/>
    <xf numFmtId="0" fontId="1" fillId="0" borderId="3" xfId="0" applyFont="1" applyBorder="1"/>
    <xf numFmtId="0" fontId="23" fillId="0" borderId="4" xfId="0" applyFont="1" applyBorder="1"/>
    <xf numFmtId="0" fontId="2" fillId="2" borderId="6" xfId="0" applyFont="1" applyFill="1" applyBorder="1"/>
    <xf numFmtId="49" fontId="2" fillId="0" borderId="4" xfId="0" applyNumberFormat="1" applyFont="1" applyBorder="1"/>
    <xf numFmtId="49" fontId="2" fillId="0" borderId="0" xfId="0" applyNumberFormat="1" applyFont="1" applyAlignment="1">
      <alignment horizontal="center"/>
    </xf>
    <xf numFmtId="0" fontId="2" fillId="0" borderId="4" xfId="0" applyFont="1" applyBorder="1" applyAlignment="1">
      <alignment horizontal="left"/>
    </xf>
    <xf numFmtId="0" fontId="29"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49" fontId="2" fillId="0" borderId="0" xfId="0" quotePrefix="1" applyNumberFormat="1" applyFont="1" applyAlignment="1">
      <alignment horizontal="center" vertical="center"/>
    </xf>
    <xf numFmtId="0" fontId="30" fillId="0" borderId="3" xfId="0" applyFont="1" applyBorder="1" applyAlignment="1">
      <alignment horizontal="center" vertical="center"/>
    </xf>
    <xf numFmtId="0" fontId="32" fillId="0" borderId="3" xfId="0" applyFont="1" applyBorder="1" applyAlignment="1">
      <alignment horizontal="center" vertical="center"/>
    </xf>
    <xf numFmtId="0" fontId="29" fillId="0" borderId="3" xfId="0" applyFont="1" applyBorder="1" applyAlignment="1">
      <alignment horizontal="center" vertical="center"/>
    </xf>
    <xf numFmtId="0" fontId="29" fillId="0" borderId="3" xfId="0" applyFont="1" applyBorder="1" applyAlignment="1">
      <alignment horizontal="center" vertical="center" wrapText="1"/>
    </xf>
    <xf numFmtId="0" fontId="10" fillId="0" borderId="3" xfId="0" applyFont="1" applyBorder="1" applyAlignment="1">
      <alignment horizontal="center" vertical="center"/>
    </xf>
    <xf numFmtId="0" fontId="1" fillId="0" borderId="13" xfId="0" applyFont="1" applyBorder="1" applyAlignment="1">
      <alignment horizontal="center" vertical="center" wrapText="1"/>
    </xf>
    <xf numFmtId="0" fontId="2" fillId="0" borderId="0" xfId="0" quotePrefix="1" applyFont="1" applyAlignment="1">
      <alignment horizontal="center" vertical="center"/>
    </xf>
    <xf numFmtId="0" fontId="1" fillId="0" borderId="12" xfId="0" applyFont="1" applyBorder="1" applyAlignment="1">
      <alignment horizontal="center" vertical="center" wrapText="1"/>
    </xf>
    <xf numFmtId="0" fontId="2" fillId="0" borderId="0" xfId="0" quotePrefix="1" applyFont="1" applyAlignment="1">
      <alignment horizontal="center" vertical="center" wrapText="1"/>
    </xf>
    <xf numFmtId="49" fontId="1" fillId="3" borderId="6"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protection locked="0"/>
    </xf>
    <xf numFmtId="0" fontId="1" fillId="0" borderId="1" xfId="0" applyFont="1" applyBorder="1" applyAlignment="1">
      <alignment horizontal="left"/>
    </xf>
    <xf numFmtId="0" fontId="2" fillId="0" borderId="6" xfId="0" applyFont="1" applyBorder="1"/>
    <xf numFmtId="11" fontId="2" fillId="0" borderId="4" xfId="0" applyNumberFormat="1" applyFont="1" applyBorder="1" applyAlignment="1">
      <alignment horizontal="center" vertical="center"/>
    </xf>
    <xf numFmtId="11" fontId="1" fillId="3" borderId="4" xfId="0" applyNumberFormat="1" applyFont="1" applyFill="1" applyBorder="1" applyAlignment="1" applyProtection="1">
      <alignment horizontal="center" vertical="center"/>
      <protection locked="0"/>
    </xf>
    <xf numFmtId="0" fontId="14" fillId="0" borderId="2" xfId="0" applyFont="1" applyBorder="1"/>
    <xf numFmtId="0" fontId="25" fillId="0" borderId="0" xfId="0" applyFont="1"/>
    <xf numFmtId="49" fontId="2" fillId="0" borderId="0" xfId="0" applyNumberFormat="1" applyFont="1"/>
    <xf numFmtId="0" fontId="9"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xf>
    <xf numFmtId="49" fontId="2" fillId="0" borderId="0" xfId="0" applyNumberFormat="1" applyFont="1" applyAlignment="1" applyProtection="1">
      <alignment horizontal="right" vertical="center"/>
      <protection locked="0"/>
    </xf>
    <xf numFmtId="0" fontId="2" fillId="0" borderId="0" xfId="1" applyNumberFormat="1" applyFont="1" applyFill="1" applyBorder="1" applyAlignment="1" applyProtection="1">
      <alignment horizontal="center" vertical="center"/>
    </xf>
    <xf numFmtId="49" fontId="2" fillId="0" borderId="0" xfId="0" applyNumberFormat="1" applyFont="1" applyAlignment="1">
      <alignment horizontal="left" vertical="center"/>
    </xf>
    <xf numFmtId="0" fontId="9" fillId="0" borderId="0" xfId="0" applyFont="1" applyAlignment="1">
      <alignment horizontal="left"/>
    </xf>
    <xf numFmtId="0" fontId="1" fillId="0" borderId="1" xfId="0" applyFont="1" applyBorder="1" applyAlignment="1">
      <alignment horizontal="left" vertical="center"/>
    </xf>
    <xf numFmtId="0" fontId="2" fillId="0" borderId="9" xfId="0" applyFont="1" applyBorder="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xf>
    <xf numFmtId="0" fontId="38" fillId="0" borderId="14" xfId="0" applyFont="1" applyBorder="1"/>
    <xf numFmtId="0" fontId="39" fillId="0" borderId="0" xfId="0" applyFont="1"/>
    <xf numFmtId="0" fontId="38" fillId="0" borderId="6" xfId="0" applyFont="1" applyBorder="1"/>
    <xf numFmtId="0" fontId="38" fillId="0" borderId="0" xfId="0" applyFont="1"/>
    <xf numFmtId="0" fontId="38" fillId="0" borderId="14" xfId="0" applyFont="1" applyBorder="1" applyAlignment="1">
      <alignment horizontal="center"/>
    </xf>
    <xf numFmtId="49" fontId="38" fillId="0" borderId="14" xfId="0" applyNumberFormat="1" applyFont="1" applyBorder="1" applyAlignment="1">
      <alignment horizontal="center"/>
    </xf>
    <xf numFmtId="0" fontId="2" fillId="0" borderId="3" xfId="0" applyFont="1" applyBorder="1" applyAlignment="1">
      <alignment horizontal="left" vertical="center"/>
    </xf>
    <xf numFmtId="0" fontId="2" fillId="0" borderId="3" xfId="0" applyFont="1" applyBorder="1"/>
    <xf numFmtId="0" fontId="2" fillId="0" borderId="14" xfId="0" applyFont="1" applyBorder="1"/>
    <xf numFmtId="0" fontId="2" fillId="0" borderId="8" xfId="0" applyFont="1" applyBorder="1"/>
    <xf numFmtId="0" fontId="2" fillId="0" borderId="11" xfId="0" applyFont="1" applyBorder="1"/>
    <xf numFmtId="49" fontId="38" fillId="0" borderId="0" xfId="0" applyNumberFormat="1" applyFont="1" applyAlignment="1">
      <alignment horizontal="center"/>
    </xf>
    <xf numFmtId="0" fontId="2" fillId="0" borderId="0" xfId="0" applyFont="1" applyAlignment="1">
      <alignment horizontal="right"/>
    </xf>
    <xf numFmtId="0" fontId="2" fillId="0" borderId="1" xfId="0" applyFont="1" applyBorder="1" applyAlignment="1">
      <alignment horizontal="right"/>
    </xf>
    <xf numFmtId="49" fontId="1" fillId="0" borderId="0" xfId="0" applyNumberFormat="1" applyFont="1" applyAlignment="1" applyProtection="1">
      <alignment horizontal="center" vertical="center"/>
      <protection locked="0"/>
    </xf>
    <xf numFmtId="0" fontId="2"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49" fontId="2" fillId="0" borderId="17" xfId="0" applyNumberFormat="1" applyFont="1" applyBorder="1" applyAlignment="1">
      <alignment horizontal="center" vertical="center"/>
    </xf>
    <xf numFmtId="49" fontId="35" fillId="0" borderId="17" xfId="0" quotePrefix="1" applyNumberFormat="1" applyFont="1" applyBorder="1" applyAlignment="1">
      <alignment horizontal="center" vertical="center"/>
    </xf>
    <xf numFmtId="0" fontId="35" fillId="0" borderId="17" xfId="0" quotePrefix="1" applyFont="1" applyBorder="1" applyAlignment="1">
      <alignment horizontal="center" vertical="center"/>
    </xf>
    <xf numFmtId="49" fontId="2" fillId="0" borderId="18" xfId="0" quotePrefix="1" applyNumberFormat="1" applyFont="1" applyBorder="1" applyAlignment="1">
      <alignment horizontal="center" vertical="center" wrapText="1"/>
    </xf>
    <xf numFmtId="49" fontId="2" fillId="0" borderId="18" xfId="0" applyNumberFormat="1" applyFont="1" applyBorder="1" applyAlignment="1">
      <alignment horizontal="center" vertical="center"/>
    </xf>
    <xf numFmtId="0" fontId="2" fillId="0" borderId="18" xfId="0" applyFont="1" applyBorder="1" applyAlignment="1">
      <alignment horizontal="center" vertical="center"/>
    </xf>
    <xf numFmtId="49" fontId="2" fillId="0" borderId="18" xfId="0" quotePrefix="1" applyNumberFormat="1" applyFont="1" applyBorder="1" applyAlignment="1">
      <alignment horizontal="center" vertical="center"/>
    </xf>
    <xf numFmtId="0" fontId="2" fillId="0" borderId="17" xfId="0" applyFont="1" applyBorder="1" applyAlignment="1">
      <alignment horizontal="center" vertical="center"/>
    </xf>
    <xf numFmtId="0" fontId="1" fillId="0" borderId="19" xfId="0" applyFont="1" applyBorder="1" applyAlignment="1">
      <alignment horizontal="center" vertical="center" wrapText="1"/>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38" fillId="0" borderId="0" xfId="0" applyFont="1" applyAlignment="1">
      <alignment horizontal="center"/>
    </xf>
    <xf numFmtId="0" fontId="25" fillId="0" borderId="1" xfId="0" applyFont="1" applyBorder="1"/>
    <xf numFmtId="0" fontId="27" fillId="0" borderId="1" xfId="0" applyFont="1" applyBorder="1"/>
    <xf numFmtId="0" fontId="1" fillId="0" borderId="1" xfId="0" applyFont="1" applyBorder="1"/>
    <xf numFmtId="0" fontId="1" fillId="0" borderId="2" xfId="0" applyFont="1" applyBorder="1"/>
    <xf numFmtId="0" fontId="44" fillId="0" borderId="0" xfId="0" applyFont="1" applyAlignment="1">
      <alignment horizontal="center" vertical="center" wrapText="1"/>
    </xf>
    <xf numFmtId="0" fontId="46" fillId="0" borderId="0" xfId="0" applyFont="1" applyAlignment="1">
      <alignment horizontal="center" vertical="center"/>
    </xf>
    <xf numFmtId="0" fontId="46" fillId="0" borderId="0" xfId="0" quotePrefix="1" applyFont="1" applyAlignment="1">
      <alignment horizontal="center" vertical="center"/>
    </xf>
    <xf numFmtId="0" fontId="44" fillId="0" borderId="9" xfId="0" applyFont="1" applyBorder="1" applyAlignment="1">
      <alignment horizontal="center" vertical="center" wrapText="1"/>
    </xf>
    <xf numFmtId="0" fontId="46" fillId="0" borderId="15" xfId="0" applyFont="1" applyBorder="1" applyAlignment="1">
      <alignment horizontal="right" vertical="center"/>
    </xf>
    <xf numFmtId="0" fontId="46" fillId="0" borderId="23" xfId="0" quotePrefix="1" applyFont="1" applyBorder="1" applyAlignment="1">
      <alignment horizontal="center" vertical="center"/>
    </xf>
    <xf numFmtId="0" fontId="46" fillId="0" borderId="23" xfId="0" applyFont="1" applyBorder="1" applyAlignment="1">
      <alignment horizontal="center" vertical="center"/>
    </xf>
    <xf numFmtId="0" fontId="46" fillId="0" borderId="0" xfId="0" applyFont="1" applyAlignment="1">
      <alignment horizontal="right" vertical="center"/>
    </xf>
    <xf numFmtId="0" fontId="46" fillId="0" borderId="4" xfId="0" applyFont="1" applyBorder="1" applyAlignment="1">
      <alignment horizontal="center" vertical="center"/>
    </xf>
    <xf numFmtId="0" fontId="46" fillId="0" borderId="4" xfId="0" quotePrefix="1" applyFont="1" applyBorder="1" applyAlignment="1">
      <alignment horizontal="center" vertical="center"/>
    </xf>
    <xf numFmtId="0" fontId="2" fillId="0" borderId="22" xfId="0" applyFont="1" applyBorder="1"/>
    <xf numFmtId="49" fontId="2" fillId="3" borderId="6" xfId="0" applyNumberFormat="1" applyFont="1" applyFill="1" applyBorder="1" applyAlignment="1" applyProtection="1">
      <alignment horizontal="center" vertical="center"/>
      <protection locked="0"/>
    </xf>
    <xf numFmtId="49" fontId="2" fillId="3" borderId="4"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0" fontId="2" fillId="0" borderId="0" xfId="0" applyFont="1" applyAlignment="1">
      <alignment vertical="center"/>
    </xf>
    <xf numFmtId="11" fontId="1" fillId="0" borderId="0" xfId="0" applyNumberFormat="1" applyFont="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48" fillId="0" borderId="9" xfId="0" applyFont="1" applyBorder="1" applyAlignment="1">
      <alignment horizontal="center" vertical="center" wrapTex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0" fillId="0" borderId="0" xfId="0" applyAlignment="1">
      <alignment horizontal="center" vertical="center"/>
    </xf>
    <xf numFmtId="3" fontId="0" fillId="0" borderId="4" xfId="0" applyNumberFormat="1" applyBorder="1" applyAlignment="1">
      <alignment horizontal="center"/>
    </xf>
    <xf numFmtId="3" fontId="0" fillId="0" borderId="4" xfId="0" quotePrefix="1" applyNumberFormat="1" applyBorder="1" applyAlignment="1">
      <alignment horizontal="center"/>
    </xf>
    <xf numFmtId="3" fontId="0" fillId="0" borderId="0" xfId="0" quotePrefix="1" applyNumberFormat="1" applyAlignment="1">
      <alignment horizontal="center"/>
    </xf>
    <xf numFmtId="11" fontId="0" fillId="0" borderId="0" xfId="0" applyNumberFormat="1" applyAlignment="1">
      <alignment horizontal="center"/>
    </xf>
    <xf numFmtId="11" fontId="0" fillId="0" borderId="4" xfId="0" applyNumberFormat="1" applyBorder="1" applyAlignment="1">
      <alignment horizontal="center"/>
    </xf>
    <xf numFmtId="2" fontId="0" fillId="0" borderId="4" xfId="0" applyNumberFormat="1" applyBorder="1" applyAlignment="1">
      <alignment horizontal="center"/>
    </xf>
    <xf numFmtId="0" fontId="0" fillId="0" borderId="24" xfId="0" applyBorder="1"/>
    <xf numFmtId="3" fontId="0" fillId="0" borderId="25" xfId="0" applyNumberFormat="1" applyBorder="1" applyAlignment="1">
      <alignment horizontal="center"/>
    </xf>
    <xf numFmtId="3" fontId="0" fillId="0" borderId="25" xfId="0" quotePrefix="1" applyNumberFormat="1" applyBorder="1" applyAlignment="1">
      <alignment horizontal="center"/>
    </xf>
    <xf numFmtId="3" fontId="0" fillId="0" borderId="24" xfId="0" quotePrefix="1" applyNumberFormat="1" applyBorder="1" applyAlignment="1">
      <alignment horizontal="center"/>
    </xf>
    <xf numFmtId="11" fontId="0" fillId="0" borderId="24" xfId="0" applyNumberFormat="1" applyBorder="1" applyAlignment="1">
      <alignment horizontal="center"/>
    </xf>
    <xf numFmtId="11" fontId="0" fillId="0" borderId="25" xfId="0" applyNumberFormat="1" applyBorder="1" applyAlignment="1">
      <alignment horizontal="center"/>
    </xf>
    <xf numFmtId="2" fontId="0" fillId="0" borderId="25" xfId="0" applyNumberFormat="1" applyBorder="1" applyAlignment="1">
      <alignment horizontal="center"/>
    </xf>
    <xf numFmtId="1" fontId="0" fillId="0" borderId="25" xfId="0" applyNumberFormat="1" applyBorder="1" applyAlignment="1">
      <alignment horizontal="center"/>
    </xf>
    <xf numFmtId="0" fontId="0" fillId="0" borderId="25" xfId="0" applyBorder="1" applyAlignment="1">
      <alignment horizontal="center" vertical="center"/>
    </xf>
    <xf numFmtId="0" fontId="0" fillId="0" borderId="25" xfId="0" applyBorder="1" applyAlignment="1">
      <alignment horizontal="center"/>
    </xf>
    <xf numFmtId="0" fontId="47" fillId="0" borderId="0" xfId="2"/>
    <xf numFmtId="168" fontId="0" fillId="0" borderId="25" xfId="0" quotePrefix="1" applyNumberFormat="1" applyBorder="1" applyAlignment="1">
      <alignment horizontal="center"/>
    </xf>
    <xf numFmtId="0" fontId="0" fillId="0" borderId="0" xfId="0" applyAlignment="1">
      <alignment wrapText="1"/>
    </xf>
    <xf numFmtId="169" fontId="0" fillId="0" borderId="25" xfId="0" applyNumberFormat="1" applyBorder="1" applyAlignment="1">
      <alignment horizontal="center"/>
    </xf>
    <xf numFmtId="11" fontId="0" fillId="0" borderId="25" xfId="0" applyNumberFormat="1" applyBorder="1" applyAlignment="1">
      <alignment horizontal="center" vertical="center"/>
    </xf>
    <xf numFmtId="0" fontId="9" fillId="0" borderId="0" xfId="0" applyFont="1" applyAlignment="1">
      <alignment vertical="center"/>
    </xf>
    <xf numFmtId="0" fontId="44" fillId="0" borderId="0" xfId="0" applyFont="1" applyAlignment="1">
      <alignment horizontal="left" vertical="center"/>
    </xf>
    <xf numFmtId="0" fontId="44" fillId="0" borderId="15" xfId="0" applyFont="1" applyBorder="1" applyAlignment="1">
      <alignment horizontal="left" vertical="center"/>
    </xf>
    <xf numFmtId="0" fontId="46" fillId="0" borderId="1" xfId="0" applyFont="1" applyBorder="1" applyAlignment="1">
      <alignment horizontal="right" vertical="center"/>
    </xf>
    <xf numFmtId="0" fontId="46" fillId="0" borderId="9" xfId="0" applyFont="1" applyBorder="1" applyAlignment="1">
      <alignment horizontal="center" vertical="center"/>
    </xf>
    <xf numFmtId="0" fontId="46" fillId="0" borderId="9" xfId="0" quotePrefix="1" applyFont="1" applyBorder="1" applyAlignment="1">
      <alignment horizontal="center" vertical="center"/>
    </xf>
    <xf numFmtId="0" fontId="46" fillId="0" borderId="26"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0" fillId="0" borderId="0" xfId="0" applyAlignment="1">
      <alignment horizontal="center"/>
    </xf>
    <xf numFmtId="0" fontId="0" fillId="0" borderId="2" xfId="0" applyBorder="1"/>
    <xf numFmtId="0" fontId="29" fillId="0" borderId="2" xfId="0" applyFont="1" applyBorder="1" applyAlignment="1">
      <alignment horizontal="right" vertical="center"/>
    </xf>
    <xf numFmtId="0" fontId="29" fillId="0" borderId="3" xfId="0" applyFont="1" applyBorder="1" applyAlignment="1">
      <alignment horizontal="center"/>
    </xf>
    <xf numFmtId="0" fontId="29" fillId="0" borderId="2" xfId="0" applyFont="1" applyBorder="1" applyAlignment="1">
      <alignment horizontal="center"/>
    </xf>
    <xf numFmtId="0" fontId="29" fillId="0" borderId="0" xfId="0" applyFont="1" applyAlignment="1">
      <alignment horizontal="right"/>
    </xf>
    <xf numFmtId="0" fontId="29" fillId="0" borderId="4" xfId="0" applyFont="1" applyBorder="1"/>
    <xf numFmtId="0" fontId="0" fillId="0" borderId="0" xfId="0" applyAlignment="1">
      <alignment horizontal="right" vertical="center"/>
    </xf>
    <xf numFmtId="49" fontId="0" fillId="0" borderId="4" xfId="0" applyNumberFormat="1" applyBorder="1"/>
    <xf numFmtId="3" fontId="0" fillId="0" borderId="0" xfId="0" applyNumberFormat="1" applyAlignment="1">
      <alignment horizontal="right" vertical="center"/>
    </xf>
    <xf numFmtId="0" fontId="29" fillId="0" borderId="0" xfId="0" applyFont="1" applyAlignment="1">
      <alignment horizontal="center" vertical="center"/>
    </xf>
    <xf numFmtId="11" fontId="0" fillId="0" borderId="0" xfId="0" applyNumberFormat="1"/>
    <xf numFmtId="167" fontId="0" fillId="0" borderId="0" xfId="0" applyNumberFormat="1"/>
    <xf numFmtId="0" fontId="29" fillId="0" borderId="1" xfId="0" applyFont="1" applyBorder="1" applyAlignment="1">
      <alignment horizontal="right"/>
    </xf>
    <xf numFmtId="0" fontId="55" fillId="0" borderId="9" xfId="0" applyFont="1" applyBorder="1"/>
    <xf numFmtId="0" fontId="55" fillId="0" borderId="1" xfId="0" applyFont="1" applyBorder="1"/>
    <xf numFmtId="0" fontId="29" fillId="0" borderId="1" xfId="0" applyFont="1" applyBorder="1"/>
    <xf numFmtId="49" fontId="0" fillId="0" borderId="0" xfId="0" applyNumberFormat="1"/>
    <xf numFmtId="0" fontId="60" fillId="0" borderId="0" xfId="0" applyFont="1" applyAlignment="1">
      <alignment vertical="center"/>
    </xf>
    <xf numFmtId="0" fontId="56" fillId="0" borderId="1" xfId="0" applyFont="1" applyBorder="1" applyAlignment="1">
      <alignment horizontal="right" vertical="center"/>
    </xf>
    <xf numFmtId="0" fontId="56" fillId="0" borderId="1" xfId="0" applyFont="1" applyBorder="1" applyAlignment="1">
      <alignmen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15" fillId="0" borderId="2" xfId="0" applyFont="1" applyBorder="1" applyAlignment="1">
      <alignment horizontal="center"/>
    </xf>
    <xf numFmtId="167" fontId="2" fillId="0" borderId="6" xfId="0" applyNumberFormat="1" applyFont="1" applyBorder="1" applyAlignment="1">
      <alignment horizontal="center" vertical="center"/>
    </xf>
    <xf numFmtId="0" fontId="64" fillId="4" borderId="3" xfId="0" applyFont="1" applyFill="1" applyBorder="1" applyAlignment="1">
      <alignment horizontal="left" vertical="center"/>
    </xf>
    <xf numFmtId="0" fontId="64" fillId="0" borderId="4" xfId="0" applyFont="1" applyBorder="1" applyAlignment="1">
      <alignment horizontal="left" vertical="center"/>
    </xf>
    <xf numFmtId="0" fontId="64" fillId="0" borderId="6" xfId="0" applyFont="1" applyBorder="1" applyAlignment="1">
      <alignment horizontal="left" vertical="center"/>
    </xf>
    <xf numFmtId="2" fontId="1" fillId="3" borderId="6" xfId="0" applyNumberFormat="1" applyFont="1" applyFill="1" applyBorder="1" applyAlignment="1" applyProtection="1">
      <alignment horizontal="center" vertical="center"/>
      <protection locked="0"/>
    </xf>
    <xf numFmtId="2" fontId="1" fillId="3" borderId="4" xfId="0" applyNumberFormat="1" applyFont="1" applyFill="1" applyBorder="1" applyAlignment="1" applyProtection="1">
      <alignment horizontal="center" vertical="center"/>
      <protection locked="0"/>
    </xf>
    <xf numFmtId="166" fontId="1" fillId="3" borderId="9" xfId="0" applyNumberFormat="1" applyFont="1" applyFill="1" applyBorder="1" applyAlignment="1" applyProtection="1">
      <alignment horizontal="center" vertical="center"/>
      <protection locked="0"/>
    </xf>
    <xf numFmtId="166" fontId="1" fillId="3" borderId="4" xfId="0" applyNumberFormat="1" applyFont="1" applyFill="1" applyBorder="1" applyAlignment="1" applyProtection="1">
      <alignment horizontal="center" vertical="center"/>
      <protection locked="0"/>
    </xf>
    <xf numFmtId="11" fontId="9" fillId="0" borderId="0" xfId="0" applyNumberFormat="1" applyFont="1" applyAlignment="1">
      <alignment horizontal="center"/>
    </xf>
    <xf numFmtId="167" fontId="64" fillId="0" borderId="4" xfId="0" applyNumberFormat="1" applyFont="1" applyBorder="1" applyAlignment="1">
      <alignment horizontal="center" vertical="center"/>
    </xf>
    <xf numFmtId="0" fontId="9" fillId="0" borderId="1" xfId="0" applyFont="1" applyBorder="1" applyAlignment="1">
      <alignment vertical="center"/>
    </xf>
    <xf numFmtId="0" fontId="64" fillId="0" borderId="4" xfId="0" applyFont="1" applyBorder="1" applyAlignment="1">
      <alignment vertical="center"/>
    </xf>
    <xf numFmtId="0" fontId="64" fillId="0" borderId="9" xfId="0" applyFont="1" applyBorder="1" applyAlignment="1">
      <alignment vertical="center"/>
    </xf>
    <xf numFmtId="0" fontId="64" fillId="0" borderId="6" xfId="0" applyFont="1" applyBorder="1" applyAlignment="1">
      <alignment vertical="center"/>
    </xf>
    <xf numFmtId="0" fontId="9" fillId="0" borderId="4" xfId="0" applyFont="1" applyBorder="1" applyAlignment="1">
      <alignment vertical="center"/>
    </xf>
    <xf numFmtId="2" fontId="9" fillId="0" borderId="0" xfId="0" applyNumberFormat="1" applyFont="1" applyAlignment="1">
      <alignment horizontal="center"/>
    </xf>
    <xf numFmtId="170" fontId="2" fillId="0" borderId="9" xfId="0" applyNumberFormat="1" applyFont="1" applyBorder="1" applyAlignment="1">
      <alignment horizontal="center" vertical="center"/>
    </xf>
    <xf numFmtId="170" fontId="1" fillId="3" borderId="3" xfId="0" applyNumberFormat="1" applyFont="1" applyFill="1" applyBorder="1" applyAlignment="1" applyProtection="1">
      <alignment horizontal="center" vertical="center"/>
      <protection locked="0"/>
    </xf>
    <xf numFmtId="0" fontId="70" fillId="0" borderId="2" xfId="0" applyFont="1" applyBorder="1" applyAlignment="1">
      <alignment horizontal="center"/>
    </xf>
    <xf numFmtId="0" fontId="9" fillId="0" borderId="10" xfId="0" applyFont="1" applyBorder="1" applyAlignment="1">
      <alignment vertical="center"/>
    </xf>
    <xf numFmtId="0" fontId="2" fillId="0" borderId="1" xfId="0" applyFont="1" applyBorder="1" applyAlignment="1">
      <alignment vertical="center"/>
    </xf>
    <xf numFmtId="167" fontId="2" fillId="0" borderId="4" xfId="0" applyNumberFormat="1" applyFont="1" applyBorder="1" applyAlignment="1">
      <alignment horizontal="center" vertical="center"/>
    </xf>
    <xf numFmtId="0" fontId="28" fillId="0" borderId="0" xfId="0" applyFont="1" applyAlignment="1" applyProtection="1">
      <alignment vertical="center" wrapText="1"/>
      <protection locked="0"/>
    </xf>
    <xf numFmtId="0" fontId="25" fillId="0" borderId="0" xfId="0" applyFont="1" applyProtection="1">
      <protection locked="0"/>
    </xf>
    <xf numFmtId="11" fontId="1" fillId="3" borderId="3" xfId="0" applyNumberFormat="1" applyFont="1" applyFill="1" applyBorder="1" applyAlignment="1" applyProtection="1">
      <alignment horizontal="center" vertical="center"/>
      <protection locked="0"/>
    </xf>
    <xf numFmtId="0" fontId="64" fillId="0" borderId="0" xfId="0" applyFont="1" applyAlignment="1">
      <alignment horizontal="center" vertical="top" wrapText="1"/>
    </xf>
    <xf numFmtId="0" fontId="64" fillId="0" borderId="0" xfId="0" applyFont="1"/>
    <xf numFmtId="0" fontId="4" fillId="0" borderId="4" xfId="0" applyFont="1" applyBorder="1"/>
    <xf numFmtId="0" fontId="64" fillId="0" borderId="4" xfId="0" applyFont="1" applyBorder="1" applyAlignment="1">
      <alignment horizontal="left"/>
    </xf>
    <xf numFmtId="0" fontId="70" fillId="0" borderId="3" xfId="0" applyFont="1" applyBorder="1" applyAlignment="1">
      <alignment horizontal="center"/>
    </xf>
    <xf numFmtId="11" fontId="9" fillId="0" borderId="4" xfId="0" applyNumberFormat="1" applyFont="1" applyBorder="1" applyAlignment="1">
      <alignment horizontal="center"/>
    </xf>
    <xf numFmtId="2" fontId="9" fillId="0" borderId="4" xfId="0" applyNumberFormat="1" applyFont="1" applyBorder="1" applyAlignment="1">
      <alignment horizontal="center"/>
    </xf>
    <xf numFmtId="0" fontId="64" fillId="0" borderId="1" xfId="0" applyFont="1" applyBorder="1"/>
    <xf numFmtId="0" fontId="64" fillId="0" borderId="0" xfId="0" applyFont="1" applyAlignment="1">
      <alignment vertical="center"/>
    </xf>
    <xf numFmtId="0" fontId="70" fillId="0" borderId="0" xfId="0" applyFont="1" applyAlignment="1">
      <alignment vertical="center"/>
    </xf>
    <xf numFmtId="0" fontId="64" fillId="0" borderId="1" xfId="0" applyFont="1" applyBorder="1" applyAlignment="1">
      <alignment vertical="center"/>
    </xf>
    <xf numFmtId="11" fontId="64" fillId="0" borderId="4" xfId="0" applyNumberFormat="1" applyFont="1" applyBorder="1" applyAlignment="1">
      <alignment horizontal="center" vertical="center"/>
    </xf>
    <xf numFmtId="0" fontId="70" fillId="0" borderId="0" xfId="0" applyFont="1" applyAlignment="1">
      <alignment horizontal="center"/>
    </xf>
    <xf numFmtId="0" fontId="64" fillId="0" borderId="0" xfId="0" applyFont="1" applyAlignment="1">
      <alignment vertical="center" wrapText="1"/>
    </xf>
    <xf numFmtId="0" fontId="70" fillId="0" borderId="3" xfId="0" applyFont="1" applyBorder="1" applyAlignment="1">
      <alignment horizontal="center" vertical="center"/>
    </xf>
    <xf numFmtId="0" fontId="70" fillId="0" borderId="3" xfId="0" applyFont="1" applyBorder="1" applyAlignment="1">
      <alignment horizontal="center" vertical="center" wrapText="1"/>
    </xf>
    <xf numFmtId="0" fontId="70" fillId="0" borderId="7" xfId="0" applyFont="1" applyBorder="1" applyAlignment="1">
      <alignment horizontal="center" vertical="center" wrapText="1"/>
    </xf>
    <xf numFmtId="0" fontId="1" fillId="0" borderId="2" xfId="0" applyFont="1" applyBorder="1" applyAlignment="1">
      <alignment horizontal="right" vertical="center"/>
    </xf>
    <xf numFmtId="0" fontId="2" fillId="0" borderId="0" xfId="0" applyFont="1" applyAlignment="1">
      <alignment horizontal="right" vertical="center"/>
    </xf>
    <xf numFmtId="0" fontId="64" fillId="0" borderId="0" xfId="0" applyFont="1" applyAlignment="1">
      <alignment horizontal="right"/>
    </xf>
    <xf numFmtId="0" fontId="71" fillId="0" borderId="3" xfId="0" applyFont="1" applyBorder="1" applyAlignment="1">
      <alignment horizontal="center" vertical="center" wrapText="1"/>
    </xf>
    <xf numFmtId="0" fontId="33" fillId="0" borderId="0" xfId="0" applyFont="1" applyAlignment="1">
      <alignment horizontal="left" vertical="center" wrapText="1"/>
    </xf>
    <xf numFmtId="0" fontId="28" fillId="0" borderId="0" xfId="0" applyFont="1" applyAlignment="1">
      <alignment horizontal="left" vertical="center" wrapText="1"/>
    </xf>
    <xf numFmtId="49" fontId="2"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11" fontId="2" fillId="0" borderId="0" xfId="0" applyNumberFormat="1" applyFont="1" applyAlignment="1">
      <alignment horizontal="left"/>
    </xf>
    <xf numFmtId="0" fontId="2" fillId="0" borderId="0" xfId="0" applyFont="1" applyAlignment="1">
      <alignment horizontal="left" vertical="center"/>
    </xf>
    <xf numFmtId="0" fontId="2" fillId="0" borderId="13" xfId="0" applyFont="1" applyBorder="1" applyAlignment="1">
      <alignment horizontal="left" vertical="center"/>
    </xf>
    <xf numFmtId="49" fontId="2" fillId="3" borderId="4" xfId="0" applyNumberFormat="1" applyFont="1" applyFill="1" applyBorder="1" applyAlignment="1" applyProtection="1">
      <alignment horizontal="left" vertical="center"/>
      <protection locked="0"/>
    </xf>
    <xf numFmtId="0" fontId="2" fillId="0" borderId="8" xfId="0" applyFont="1" applyBorder="1" applyAlignment="1">
      <alignment horizontal="left" vertical="center"/>
    </xf>
    <xf numFmtId="0" fontId="0" fillId="3" borderId="4" xfId="0" applyFill="1" applyBorder="1" applyAlignment="1">
      <alignment horizontal="left" vertical="center"/>
    </xf>
    <xf numFmtId="0" fontId="44" fillId="0" borderId="13"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2" fillId="0" borderId="0" xfId="0" applyFont="1" applyAlignment="1">
      <alignment horizontal="left"/>
    </xf>
    <xf numFmtId="0" fontId="61" fillId="0" borderId="2" xfId="0" applyFont="1" applyBorder="1" applyAlignment="1">
      <alignment horizontal="center"/>
    </xf>
    <xf numFmtId="0" fontId="62" fillId="0" borderId="2" xfId="0" applyFont="1" applyBorder="1" applyAlignment="1">
      <alignment horizontal="center"/>
    </xf>
    <xf numFmtId="0" fontId="62" fillId="0" borderId="2" xfId="0" applyFont="1" applyBorder="1" applyAlignment="1">
      <alignment horizontal="center" vertical="center"/>
    </xf>
    <xf numFmtId="0" fontId="64" fillId="0" borderId="22" xfId="0" applyFont="1" applyBorder="1" applyAlignment="1">
      <alignment horizontal="left" vertical="top" wrapText="1"/>
    </xf>
    <xf numFmtId="0" fontId="64" fillId="0" borderId="0" xfId="0" applyFont="1" applyAlignment="1">
      <alignment horizontal="left" vertical="top" wrapText="1"/>
    </xf>
    <xf numFmtId="0" fontId="70" fillId="0" borderId="3" xfId="0" applyFont="1" applyBorder="1" applyAlignment="1">
      <alignment horizontal="center" vertical="center"/>
    </xf>
    <xf numFmtId="0" fontId="70" fillId="0" borderId="2" xfId="0" applyFont="1" applyBorder="1" applyAlignment="1">
      <alignment horizontal="center" vertical="center"/>
    </xf>
    <xf numFmtId="0" fontId="70" fillId="0" borderId="3" xfId="0" applyFont="1" applyBorder="1" applyAlignment="1">
      <alignment horizontal="center" vertical="center" wrapText="1"/>
    </xf>
    <xf numFmtId="0" fontId="70" fillId="0" borderId="5" xfId="0" applyFont="1" applyBorder="1" applyAlignment="1">
      <alignment horizontal="center" vertical="center"/>
    </xf>
    <xf numFmtId="0" fontId="25" fillId="0" borderId="2" xfId="0" applyFont="1" applyBorder="1" applyAlignment="1" applyProtection="1">
      <alignment horizontal="center"/>
      <protection locked="0"/>
    </xf>
    <xf numFmtId="0" fontId="28" fillId="0" borderId="0" xfId="0" applyFont="1" applyAlignment="1" applyProtection="1">
      <alignment horizontal="left" vertical="center" wrapText="1"/>
      <protection locked="0"/>
    </xf>
    <xf numFmtId="0" fontId="44" fillId="0" borderId="10" xfId="0" applyFont="1" applyBorder="1" applyAlignment="1">
      <alignment horizontal="center" vertical="center" wrapText="1"/>
    </xf>
    <xf numFmtId="0" fontId="2" fillId="0" borderId="22"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xf numFmtId="0" fontId="9" fillId="0" borderId="0" xfId="0" applyFont="1" applyBorder="1"/>
    <xf numFmtId="0" fontId="0" fillId="0" borderId="0" xfId="0" applyBorder="1"/>
    <xf numFmtId="49" fontId="0" fillId="0" borderId="0" xfId="0" applyNumberFormat="1" applyBorder="1"/>
    <xf numFmtId="0" fontId="2" fillId="0" borderId="0" xfId="0" applyFont="1" applyFill="1" applyBorder="1"/>
    <xf numFmtId="0" fontId="9" fillId="0" borderId="0" xfId="0" applyFont="1" applyFill="1" applyBorder="1"/>
    <xf numFmtId="0" fontId="0" fillId="0" borderId="0" xfId="0" applyFill="1" applyBorder="1"/>
    <xf numFmtId="0" fontId="29" fillId="0" borderId="0" xfId="0" applyFont="1" applyFill="1" applyBorder="1" applyAlignment="1">
      <alignment horizontal="right"/>
    </xf>
    <xf numFmtId="49" fontId="0" fillId="0" borderId="0" xfId="0" applyNumberFormat="1" applyFill="1" applyBorder="1"/>
    <xf numFmtId="0" fontId="29" fillId="0" borderId="0" xfId="0" applyFont="1" applyFill="1" applyBorder="1"/>
    <xf numFmtId="0" fontId="60" fillId="0" borderId="0" xfId="0" applyFont="1" applyFill="1" applyBorder="1" applyAlignment="1">
      <alignment vertical="center"/>
    </xf>
    <xf numFmtId="0" fontId="29" fillId="0" borderId="0" xfId="0" applyFont="1" applyBorder="1"/>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11" fontId="0" fillId="0" borderId="0" xfId="0" applyNumberFormat="1" applyBorder="1"/>
    <xf numFmtId="167" fontId="0" fillId="0" borderId="0" xfId="0" applyNumberFormat="1" applyBorder="1"/>
    <xf numFmtId="0" fontId="62" fillId="0" borderId="0" xfId="0" applyFont="1" applyFill="1" applyBorder="1" applyAlignment="1">
      <alignment vertical="center"/>
    </xf>
    <xf numFmtId="11" fontId="1" fillId="3" borderId="6" xfId="0" applyNumberFormat="1" applyFont="1" applyFill="1" applyBorder="1" applyAlignment="1" applyProtection="1">
      <alignment horizontal="center" vertical="center"/>
      <protection locked="0"/>
    </xf>
    <xf numFmtId="0" fontId="1" fillId="3" borderId="4" xfId="0" applyNumberFormat="1" applyFont="1" applyFill="1" applyBorder="1" applyAlignment="1" applyProtection="1">
      <alignment horizontal="center" vertical="center"/>
      <protection locked="0"/>
    </xf>
    <xf numFmtId="1" fontId="0" fillId="0" borderId="0" xfId="0" applyNumberFormat="1"/>
    <xf numFmtId="0" fontId="1" fillId="0" borderId="0" xfId="0" applyNumberFormat="1" applyFont="1" applyFill="1" applyBorder="1" applyAlignment="1" applyProtection="1">
      <alignment horizontal="center" vertical="center"/>
      <protection locked="0"/>
    </xf>
    <xf numFmtId="0" fontId="62" fillId="0" borderId="22" xfId="0"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64" fillId="0" borderId="0" xfId="0" applyFont="1" applyBorder="1" applyAlignment="1">
      <alignment horizontal="left"/>
    </xf>
    <xf numFmtId="0" fontId="4" fillId="0" borderId="0" xfId="0" applyFont="1" applyBorder="1"/>
    <xf numFmtId="0" fontId="14" fillId="0" borderId="0" xfId="0" applyFont="1" applyBorder="1"/>
    <xf numFmtId="0" fontId="2" fillId="0" borderId="0" xfId="0" applyFont="1" applyBorder="1" applyAlignment="1">
      <alignment horizontal="center" vertical="center"/>
    </xf>
    <xf numFmtId="0" fontId="9" fillId="0" borderId="0" xfId="0" applyFont="1" applyBorder="1" applyAlignment="1">
      <alignment vertical="center"/>
    </xf>
    <xf numFmtId="0" fontId="1" fillId="0" borderId="0" xfId="0" applyFont="1" applyBorder="1"/>
  </cellXfs>
  <cellStyles count="3">
    <cellStyle name="Comma" xfId="1" builtinId="3"/>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67171"/>
      <color rgb="FF0066CC"/>
      <color rgb="FF76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2158572624698"/>
          <c:y val="5.3684533039414936E-2"/>
          <c:w val="0.83064743350864356"/>
          <c:h val="0.77192247921017254"/>
        </c:manualLayout>
      </c:layout>
      <c:scatterChart>
        <c:scatterStyle val="smoothMarker"/>
        <c:varyColors val="0"/>
        <c:ser>
          <c:idx val="2"/>
          <c:order val="0"/>
          <c:tx>
            <c:v>Reactive Near-Field Boundary of Electrically Small Antenna (D&lt;λ/2)</c:v>
          </c:tx>
          <c:spPr>
            <a:ln w="19050" cap="rnd">
              <a:solidFill>
                <a:schemeClr val="accent2"/>
              </a:solidFill>
              <a:round/>
            </a:ln>
            <a:effectLst/>
          </c:spPr>
          <c:marker>
            <c:symbol val="none"/>
          </c:marker>
          <c:xVal>
            <c:numRef>
              <c:f>'Near|FarField'!$A$66:$A$73</c:f>
              <c:numCache>
                <c:formatCode>0.00E+00</c:formatCode>
                <c:ptCount val="8"/>
                <c:pt idx="0">
                  <c:v>10000</c:v>
                </c:pt>
                <c:pt idx="1">
                  <c:v>100000</c:v>
                </c:pt>
                <c:pt idx="2">
                  <c:v>1000000</c:v>
                </c:pt>
                <c:pt idx="3">
                  <c:v>10000000</c:v>
                </c:pt>
                <c:pt idx="4">
                  <c:v>100000000</c:v>
                </c:pt>
                <c:pt idx="5">
                  <c:v>1000000000</c:v>
                </c:pt>
                <c:pt idx="6">
                  <c:v>10000000000</c:v>
                </c:pt>
                <c:pt idx="7">
                  <c:v>100000000000</c:v>
                </c:pt>
              </c:numCache>
            </c:numRef>
          </c:xVal>
          <c:yVal>
            <c:numRef>
              <c:f>'Near|FarField'!$D$66:$D$73</c:f>
              <c:numCache>
                <c:formatCode>General</c:formatCode>
                <c:ptCount val="8"/>
                <c:pt idx="0">
                  <c:v>4771.4651938950219</c:v>
                </c:pt>
                <c:pt idx="1">
                  <c:v>477.14651938950226</c:v>
                </c:pt>
                <c:pt idx="2">
                  <c:v>47.714651938950226</c:v>
                </c:pt>
                <c:pt idx="3">
                  <c:v>4.7714651938950228</c:v>
                </c:pt>
                <c:pt idx="4">
                  <c:v>0.47714651938950225</c:v>
                </c:pt>
                <c:pt idx="5">
                  <c:v>4.7714651938950227E-2</c:v>
                </c:pt>
                <c:pt idx="6">
                  <c:v>4.7714651938950223E-3</c:v>
                </c:pt>
                <c:pt idx="7">
                  <c:v>4.7714651938950218E-4</c:v>
                </c:pt>
              </c:numCache>
            </c:numRef>
          </c:yVal>
          <c:smooth val="1"/>
          <c:extLst>
            <c:ext xmlns:c16="http://schemas.microsoft.com/office/drawing/2014/chart" uri="{C3380CC4-5D6E-409C-BE32-E72D297353CC}">
              <c16:uniqueId val="{00000000-6EAF-4CD1-8A9D-6047AA0E0472}"/>
            </c:ext>
          </c:extLst>
        </c:ser>
        <c:ser>
          <c:idx val="1"/>
          <c:order val="1"/>
          <c:tx>
            <c:v>Reactive Near-Field Boundary of Electrically Large Antenna (D&gt;λ/2)</c:v>
          </c:tx>
          <c:spPr>
            <a:ln w="19050" cap="rnd">
              <a:solidFill>
                <a:srgbClr val="767171"/>
              </a:solidFill>
              <a:round/>
            </a:ln>
            <a:effectLst/>
          </c:spPr>
          <c:marker>
            <c:symbol val="none"/>
          </c:marker>
          <c:xVal>
            <c:numRef>
              <c:f>'Near|FarField'!$A$66:$A$73</c:f>
              <c:numCache>
                <c:formatCode>0.00E+00</c:formatCode>
                <c:ptCount val="8"/>
                <c:pt idx="0">
                  <c:v>10000</c:v>
                </c:pt>
                <c:pt idx="1">
                  <c:v>100000</c:v>
                </c:pt>
                <c:pt idx="2">
                  <c:v>1000000</c:v>
                </c:pt>
                <c:pt idx="3">
                  <c:v>10000000</c:v>
                </c:pt>
                <c:pt idx="4">
                  <c:v>100000000</c:v>
                </c:pt>
                <c:pt idx="5">
                  <c:v>1000000000</c:v>
                </c:pt>
                <c:pt idx="6">
                  <c:v>10000000000</c:v>
                </c:pt>
                <c:pt idx="7">
                  <c:v>100000000000</c:v>
                </c:pt>
              </c:numCache>
            </c:numRef>
          </c:xVal>
          <c:yVal>
            <c:numRef>
              <c:f>'Near|FarField'!$E$66:$E$73</c:f>
              <c:numCache>
                <c:formatCode>@</c:formatCode>
                <c:ptCount val="8"/>
                <c:pt idx="0">
                  <c:v>3.580765456458918E-3</c:v>
                </c:pt>
                <c:pt idx="1">
                  <c:v>1.1323374609262665E-2</c:v>
                </c:pt>
                <c:pt idx="2">
                  <c:v>3.5807654564589182E-2</c:v>
                </c:pt>
                <c:pt idx="3">
                  <c:v>0.11323374609262668</c:v>
                </c:pt>
                <c:pt idx="4">
                  <c:v>0.35807654564589186</c:v>
                </c:pt>
                <c:pt idx="5">
                  <c:v>1.1323374609262666</c:v>
                </c:pt>
                <c:pt idx="6">
                  <c:v>3.5807654564589182</c:v>
                </c:pt>
                <c:pt idx="7" formatCode="General">
                  <c:v>11.323374609262666</c:v>
                </c:pt>
              </c:numCache>
            </c:numRef>
          </c:yVal>
          <c:smooth val="1"/>
          <c:extLst>
            <c:ext xmlns:c16="http://schemas.microsoft.com/office/drawing/2014/chart" uri="{C3380CC4-5D6E-409C-BE32-E72D297353CC}">
              <c16:uniqueId val="{00000001-97BC-4168-9694-8B17EB9EFCE7}"/>
            </c:ext>
          </c:extLst>
        </c:ser>
        <c:ser>
          <c:idx val="0"/>
          <c:order val="2"/>
          <c:tx>
            <c:v>Radiative Near-Field Boundary of Electrically Large Antenna (D&gt;λ/2)</c:v>
          </c:tx>
          <c:spPr>
            <a:ln w="19050" cap="rnd">
              <a:solidFill>
                <a:srgbClr val="0066CC"/>
              </a:solidFill>
              <a:round/>
            </a:ln>
            <a:effectLst/>
          </c:spPr>
          <c:marker>
            <c:symbol val="none"/>
          </c:marker>
          <c:xVal>
            <c:numRef>
              <c:f>'Near|FarField'!$A$66:$A$73</c:f>
              <c:numCache>
                <c:formatCode>0.00E+00</c:formatCode>
                <c:ptCount val="8"/>
                <c:pt idx="0">
                  <c:v>10000</c:v>
                </c:pt>
                <c:pt idx="1">
                  <c:v>100000</c:v>
                </c:pt>
                <c:pt idx="2">
                  <c:v>1000000</c:v>
                </c:pt>
                <c:pt idx="3">
                  <c:v>10000000</c:v>
                </c:pt>
                <c:pt idx="4">
                  <c:v>100000000</c:v>
                </c:pt>
                <c:pt idx="5">
                  <c:v>1000000000</c:v>
                </c:pt>
                <c:pt idx="6">
                  <c:v>10000000000</c:v>
                </c:pt>
                <c:pt idx="7">
                  <c:v>100000000000</c:v>
                </c:pt>
              </c:numCache>
            </c:numRef>
          </c:xVal>
          <c:yVal>
            <c:numRef>
              <c:f>'Near|FarField'!$F$66:$F$73</c:f>
              <c:numCache>
                <c:formatCode>@</c:formatCode>
                <c:ptCount val="8"/>
                <c:pt idx="0">
                  <c:v>6.6711140760507002E-5</c:v>
                </c:pt>
                <c:pt idx="1">
                  <c:v>6.6711140760506999E-4</c:v>
                </c:pt>
                <c:pt idx="2">
                  <c:v>6.6711140760507001E-3</c:v>
                </c:pt>
                <c:pt idx="3">
                  <c:v>6.6711140760507007E-2</c:v>
                </c:pt>
                <c:pt idx="4">
                  <c:v>0.66711140760507004</c:v>
                </c:pt>
                <c:pt idx="5">
                  <c:v>6.6711140760507002</c:v>
                </c:pt>
                <c:pt idx="6">
                  <c:v>66.711140760507007</c:v>
                </c:pt>
                <c:pt idx="7" formatCode="General">
                  <c:v>667.1114076050701</c:v>
                </c:pt>
              </c:numCache>
            </c:numRef>
          </c:yVal>
          <c:smooth val="1"/>
          <c:extLst>
            <c:ext xmlns:c16="http://schemas.microsoft.com/office/drawing/2014/chart" uri="{C3380CC4-5D6E-409C-BE32-E72D297353CC}">
              <c16:uniqueId val="{00000000-97BC-4168-9694-8B17EB9EFCE7}"/>
            </c:ext>
          </c:extLst>
        </c:ser>
        <c:ser>
          <c:idx val="3"/>
          <c:order val="3"/>
          <c:tx>
            <c:v>Frequency for which D=λ/2</c:v>
          </c:tx>
          <c:spPr>
            <a:ln w="19050" cap="rnd">
              <a:solidFill>
                <a:schemeClr val="tx1"/>
              </a:solidFill>
              <a:round/>
            </a:ln>
            <a:effectLst/>
          </c:spPr>
          <c:marker>
            <c:symbol val="none"/>
          </c:marker>
          <c:xVal>
            <c:numRef>
              <c:f>('Near|FarField'!$C$27,'Near|FarField'!$C$27)</c:f>
              <c:numCache>
                <c:formatCode>0.00E+00</c:formatCode>
                <c:ptCount val="2"/>
                <c:pt idx="0">
                  <c:v>149900000</c:v>
                </c:pt>
                <c:pt idx="1">
                  <c:v>149900000</c:v>
                </c:pt>
              </c:numCache>
            </c:numRef>
          </c:xVal>
          <c:yVal>
            <c:numRef>
              <c:f>('Near|FarField'!$D$66,'Near|FarField'!$F$66)</c:f>
              <c:numCache>
                <c:formatCode>@</c:formatCode>
                <c:ptCount val="2"/>
                <c:pt idx="0" formatCode="General">
                  <c:v>4771.4651938950219</c:v>
                </c:pt>
                <c:pt idx="1">
                  <c:v>6.6711140760507002E-5</c:v>
                </c:pt>
              </c:numCache>
            </c:numRef>
          </c:yVal>
          <c:smooth val="1"/>
          <c:extLst>
            <c:ext xmlns:c16="http://schemas.microsoft.com/office/drawing/2014/chart" uri="{C3380CC4-5D6E-409C-BE32-E72D297353CC}">
              <c16:uniqueId val="{00000000-0AE2-4A90-AF5E-CB3472296792}"/>
            </c:ext>
          </c:extLst>
        </c:ser>
        <c:dLbls>
          <c:showLegendKey val="0"/>
          <c:showVal val="0"/>
          <c:showCatName val="0"/>
          <c:showSerName val="0"/>
          <c:showPercent val="0"/>
          <c:showBubbleSize val="0"/>
        </c:dLbls>
        <c:axId val="995667904"/>
        <c:axId val="995665280"/>
      </c:scatterChart>
      <c:valAx>
        <c:axId val="995667904"/>
        <c:scaling>
          <c:logBase val="10"/>
          <c:orientation val="minMax"/>
          <c:max val="100000000000"/>
          <c:min val="100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ysClr val="windowText" lastClr="000000"/>
                    </a:solidFill>
                    <a:latin typeface="Helvetica-Normal" pitchFamily="2" charset="0"/>
                    <a:ea typeface="+mn-ea"/>
                    <a:cs typeface="+mn-cs"/>
                  </a:defRPr>
                </a:pPr>
                <a:r>
                  <a:rPr lang="en-US">
                    <a:solidFill>
                      <a:sysClr val="windowText" lastClr="000000"/>
                    </a:solidFill>
                    <a:latin typeface="Helvetica-Normal" pitchFamily="2" charset="0"/>
                  </a:rPr>
                  <a:t>Frequency</a:t>
                </a:r>
                <a:r>
                  <a:rPr lang="en-US" baseline="0">
                    <a:solidFill>
                      <a:sysClr val="windowText" lastClr="000000"/>
                    </a:solidFill>
                    <a:latin typeface="Helvetica-Normal" pitchFamily="2" charset="0"/>
                  </a:rPr>
                  <a:t> [Hz]</a:t>
                </a:r>
              </a:p>
            </c:rich>
          </c:tx>
          <c:layout>
            <c:manualLayout>
              <c:xMode val="edge"/>
              <c:yMode val="edge"/>
              <c:x val="0.49260613529827785"/>
              <c:y val="0.8423584168749128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Normal" pitchFamily="2" charset="0"/>
                  <a:ea typeface="+mn-ea"/>
                  <a:cs typeface="+mn-cs"/>
                </a:defRPr>
              </a:pPr>
              <a:endParaRPr lang="en-US"/>
            </a:p>
          </c:txPr>
        </c:title>
        <c:numFmt formatCode="0.00E+00" sourceLinked="0"/>
        <c:majorTickMark val="out"/>
        <c:minorTickMark val="none"/>
        <c:tickLblPos val="nextTo"/>
        <c:spPr>
          <a:noFill/>
          <a:ln w="9525" cap="flat" cmpd="sng" algn="ctr">
            <a:solidFill>
              <a:srgbClr val="767D3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Normal" pitchFamily="2" charset="0"/>
                <a:ea typeface="+mn-ea"/>
                <a:cs typeface="+mn-cs"/>
              </a:defRPr>
            </a:pPr>
            <a:endParaRPr lang="en-US"/>
          </a:p>
        </c:txPr>
        <c:crossAx val="995665280"/>
        <c:crosses val="autoZero"/>
        <c:crossBetween val="midCat"/>
      </c:valAx>
      <c:valAx>
        <c:axId val="995665280"/>
        <c:scaling>
          <c:logBase val="10"/>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Normal" pitchFamily="2" charset="0"/>
                    <a:ea typeface="+mn-ea"/>
                    <a:cs typeface="+mn-cs"/>
                  </a:defRPr>
                </a:pPr>
                <a:r>
                  <a:rPr lang="en-US">
                    <a:solidFill>
                      <a:sysClr val="windowText" lastClr="000000"/>
                    </a:solidFill>
                    <a:latin typeface="Helvetica-Normal" pitchFamily="2" charset="0"/>
                  </a:rPr>
                  <a:t>Distance </a:t>
                </a:r>
                <a:r>
                  <a:rPr lang="en-US" i="1">
                    <a:solidFill>
                      <a:sysClr val="windowText" lastClr="000000"/>
                    </a:solidFill>
                    <a:latin typeface="Helvetica-Normal" pitchFamily="2" charset="0"/>
                  </a:rPr>
                  <a:t>d</a:t>
                </a:r>
                <a:r>
                  <a:rPr lang="en-US">
                    <a:solidFill>
                      <a:sysClr val="windowText" lastClr="000000"/>
                    </a:solidFill>
                    <a:latin typeface="Helvetica-Normal" pitchFamily="2" charset="0"/>
                  </a:rPr>
                  <a:t> from transmitting antenna </a:t>
                </a:r>
                <a:r>
                  <a:rPr lang="en-US" baseline="0">
                    <a:solidFill>
                      <a:sysClr val="windowText" lastClr="000000"/>
                    </a:solidFill>
                    <a:latin typeface="Helvetica-Normal" pitchFamily="2" charset="0"/>
                  </a:rPr>
                  <a:t>[m]</a:t>
                </a:r>
                <a:endParaRPr lang="en-US">
                  <a:solidFill>
                    <a:sysClr val="windowText" lastClr="000000"/>
                  </a:solidFill>
                  <a:latin typeface="Helvetica-Normal" pitchFamily="2" charset="0"/>
                </a:endParaRPr>
              </a:p>
            </c:rich>
          </c:tx>
          <c:layout>
            <c:manualLayout>
              <c:xMode val="edge"/>
              <c:yMode val="edge"/>
              <c:x val="2.739490904484547E-2"/>
              <c:y val="0.174253616735046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Normal" pitchFamily="2" charset="0"/>
                  <a:ea typeface="+mn-ea"/>
                  <a:cs typeface="+mn-cs"/>
                </a:defRPr>
              </a:pPr>
              <a:endParaRPr lang="en-US"/>
            </a:p>
          </c:txPr>
        </c:title>
        <c:numFmt formatCode="General"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5667904"/>
        <c:crossesAt val="10000"/>
        <c:crossBetween val="midCat"/>
      </c:valAx>
      <c:spPr>
        <a:noFill/>
        <a:ln>
          <a:noFill/>
        </a:ln>
        <a:effectLst/>
      </c:spPr>
    </c:plotArea>
    <c:legend>
      <c:legendPos val="r"/>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Helvetica-Normal" pitchFamily="2" charset="0"/>
                <a:ea typeface="+mn-ea"/>
                <a:cs typeface="+mn-cs"/>
              </a:defRPr>
            </a:pPr>
            <a:endParaRPr lang="en-US"/>
          </a:p>
        </c:txPr>
      </c:legendEntry>
      <c:layout>
        <c:manualLayout>
          <c:xMode val="edge"/>
          <c:yMode val="edge"/>
          <c:x val="3.147304476666244E-2"/>
          <c:y val="0.88507983212899954"/>
          <c:w val="0.95277683463225515"/>
          <c:h val="9.546679699270850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elvetica-Normal"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25" r="0.25"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Normal" pitchFamily="2" charset="0"/>
                <a:ea typeface="+mn-ea"/>
                <a:cs typeface="+mn-cs"/>
              </a:defRPr>
            </a:pPr>
            <a:r>
              <a:rPr lang="en-US" sz="1000"/>
              <a:t>Skin depth </a:t>
            </a:r>
            <a:r>
              <a:rPr lang="en-US" sz="1000">
                <a:latin typeface="Symbol" panose="05050102010706020507" pitchFamily="18" charset="2"/>
              </a:rPr>
              <a:t>d</a:t>
            </a:r>
            <a:r>
              <a:rPr lang="en-US" sz="1000"/>
              <a:t> [mm]</a:t>
            </a:r>
          </a:p>
        </c:rich>
      </c:tx>
      <c:layout>
        <c:manualLayout>
          <c:xMode val="edge"/>
          <c:yMode val="edge"/>
          <c:x val="0.42515813648293965"/>
          <c:y val="2.14468308141928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Normal" pitchFamily="2" charset="0"/>
              <a:ea typeface="+mn-ea"/>
              <a:cs typeface="+mn-cs"/>
            </a:defRPr>
          </a:pPr>
          <a:endParaRPr lang="en-US"/>
        </a:p>
      </c:txPr>
    </c:title>
    <c:autoTitleDeleted val="0"/>
    <c:plotArea>
      <c:layout>
        <c:manualLayout>
          <c:layoutTarget val="inner"/>
          <c:xMode val="edge"/>
          <c:yMode val="edge"/>
          <c:x val="8.3644951364786488E-2"/>
          <c:y val="9.6701165285547785E-2"/>
          <c:w val="0.84055489536948313"/>
          <c:h val="0.79832378214719435"/>
        </c:manualLayout>
      </c:layout>
      <c:scatterChart>
        <c:scatterStyle val="smoothMarker"/>
        <c:varyColors val="0"/>
        <c:ser>
          <c:idx val="0"/>
          <c:order val="0"/>
          <c:tx>
            <c:v>Skin depth [mm]</c:v>
          </c:tx>
          <c:spPr>
            <a:ln w="19050" cap="rnd">
              <a:solidFill>
                <a:srgbClr val="0066CC"/>
              </a:solidFill>
              <a:round/>
            </a:ln>
            <a:effectLst/>
          </c:spPr>
          <c:marker>
            <c:symbol val="none"/>
          </c:marker>
          <c:xVal>
            <c:numRef>
              <c:f>SkinEffect!$A$42:$A$52</c:f>
              <c:numCache>
                <c:formatCode>#,##0</c:formatCode>
                <c:ptCount val="11"/>
                <c:pt idx="0" formatCode="General">
                  <c:v>10</c:v>
                </c:pt>
                <c:pt idx="1">
                  <c:v>100</c:v>
                </c:pt>
                <c:pt idx="2">
                  <c:v>1000</c:v>
                </c:pt>
                <c:pt idx="3">
                  <c:v>10000</c:v>
                </c:pt>
                <c:pt idx="4">
                  <c:v>100000</c:v>
                </c:pt>
                <c:pt idx="5">
                  <c:v>1000000</c:v>
                </c:pt>
                <c:pt idx="6">
                  <c:v>10000000</c:v>
                </c:pt>
                <c:pt idx="7">
                  <c:v>100000000</c:v>
                </c:pt>
                <c:pt idx="8">
                  <c:v>1000000000</c:v>
                </c:pt>
                <c:pt idx="9">
                  <c:v>10000000000</c:v>
                </c:pt>
                <c:pt idx="10">
                  <c:v>100000000000</c:v>
                </c:pt>
              </c:numCache>
            </c:numRef>
          </c:xVal>
          <c:yVal>
            <c:numRef>
              <c:f>SkinEffect!$B$42:$B$52</c:f>
              <c:numCache>
                <c:formatCode>@</c:formatCode>
                <c:ptCount val="11"/>
                <c:pt idx="0">
                  <c:v>20.898067849388923</c:v>
                </c:pt>
                <c:pt idx="1">
                  <c:v>6.608549310080563</c:v>
                </c:pt>
                <c:pt idx="2">
                  <c:v>2.0898067849388928</c:v>
                </c:pt>
                <c:pt idx="3">
                  <c:v>0.66085493100805948</c:v>
                </c:pt>
                <c:pt idx="4">
                  <c:v>0.20898067849389926</c:v>
                </c:pt>
                <c:pt idx="5">
                  <c:v>6.6085493100837334E-2</c:v>
                </c:pt>
                <c:pt idx="6">
                  <c:v>2.0898067849489145E-2</c:v>
                </c:pt>
                <c:pt idx="7">
                  <c:v>6.6085493103974977E-3</c:v>
                </c:pt>
                <c:pt idx="8">
                  <c:v>2.0898067859411226E-3</c:v>
                </c:pt>
                <c:pt idx="9">
                  <c:v>6.6085493417738692E-4</c:v>
                </c:pt>
                <c:pt idx="10">
                  <c:v>2.0898068851619254E-4</c:v>
                </c:pt>
              </c:numCache>
            </c:numRef>
          </c:yVal>
          <c:smooth val="1"/>
          <c:extLst>
            <c:ext xmlns:c16="http://schemas.microsoft.com/office/drawing/2014/chart" uri="{C3380CC4-5D6E-409C-BE32-E72D297353CC}">
              <c16:uniqueId val="{00000009-7354-4836-84AE-323938F5727E}"/>
            </c:ext>
          </c:extLst>
        </c:ser>
        <c:dLbls>
          <c:showLegendKey val="0"/>
          <c:showVal val="0"/>
          <c:showCatName val="0"/>
          <c:showSerName val="0"/>
          <c:showPercent val="0"/>
          <c:showBubbleSize val="0"/>
        </c:dLbls>
        <c:axId val="618833768"/>
        <c:axId val="618835080"/>
      </c:scatterChart>
      <c:valAx>
        <c:axId val="618833768"/>
        <c:scaling>
          <c:logBase val="10"/>
          <c:orientation val="minMax"/>
          <c:min val="10"/>
        </c:scaling>
        <c:delete val="1"/>
        <c:axPos val="b"/>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latin typeface="Helvetica-Normal" pitchFamily="2" charset="0"/>
                  </a:rPr>
                  <a:t>Frequency [Hz]</a:t>
                </a:r>
              </a:p>
            </c:rich>
          </c:tx>
          <c:layout>
            <c:manualLayout>
              <c:xMode val="edge"/>
              <c:yMode val="edge"/>
              <c:x val="0.42723456990010589"/>
              <c:y val="0.943648703698315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618835080"/>
        <c:crossesAt val="1"/>
        <c:crossBetween val="midCat"/>
        <c:majorUnit val="10"/>
      </c:valAx>
      <c:valAx>
        <c:axId val="618835080"/>
        <c:scaling>
          <c:logBase val="10"/>
          <c:orientation val="minMax"/>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latin typeface="Helvetica-Normal" pitchFamily="2" charset="0"/>
                  </a:rPr>
                  <a:t>Skin</a:t>
                </a:r>
                <a:r>
                  <a:rPr lang="en-US" baseline="0">
                    <a:solidFill>
                      <a:schemeClr val="tx1">
                        <a:lumMod val="65000"/>
                        <a:lumOff val="35000"/>
                      </a:schemeClr>
                    </a:solidFill>
                    <a:latin typeface="Helvetica-Normal" pitchFamily="2" charset="0"/>
                  </a:rPr>
                  <a:t> depth [mm]</a:t>
                </a:r>
                <a:endParaRPr lang="en-US">
                  <a:solidFill>
                    <a:schemeClr val="tx1">
                      <a:lumMod val="65000"/>
                      <a:lumOff val="35000"/>
                    </a:schemeClr>
                  </a:solidFill>
                  <a:latin typeface="Helvetica-Normal" pitchFamily="2" charset="0"/>
                </a:endParaRPr>
              </a:p>
            </c:rich>
          </c:tx>
          <c:layout>
            <c:manualLayout>
              <c:xMode val="edge"/>
              <c:yMode val="edge"/>
              <c:x val="2.5428341501941647E-3"/>
              <c:y val="0.410321591748076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8337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Helvetica-Normal" pitchFamily="2" charset="0"/>
                <a:ea typeface="+mn-ea"/>
                <a:cs typeface="+mn-cs"/>
              </a:defRPr>
            </a:pPr>
            <a:r>
              <a:rPr lang="en-US" sz="1000"/>
              <a:t>Resistance per unit length R</a:t>
            </a:r>
            <a:r>
              <a:rPr lang="en-US" sz="1000" baseline="-25000"/>
              <a:t>AC</a:t>
            </a:r>
            <a:r>
              <a:rPr lang="en-US" sz="1000"/>
              <a:t>' [</a:t>
            </a:r>
            <a:r>
              <a:rPr lang="en-US" sz="1000">
                <a:latin typeface="Symbol" panose="05050102010706020507" pitchFamily="18" charset="2"/>
              </a:rPr>
              <a:t>W</a:t>
            </a:r>
            <a:r>
              <a:rPr lang="en-US" sz="1000"/>
              <a:t>/m] of a round conductor with Diameter </a:t>
            </a:r>
            <a:r>
              <a:rPr lang="en-US" sz="1000" i="1"/>
              <a:t>D</a:t>
            </a:r>
            <a:r>
              <a:rPr lang="en-US" sz="1000"/>
              <a:t> </a:t>
            </a:r>
          </a:p>
        </c:rich>
      </c:tx>
      <c:layout>
        <c:manualLayout>
          <c:xMode val="edge"/>
          <c:yMode val="edge"/>
          <c:x val="0.20251141516754431"/>
          <c:y val="3.915956145888529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Helvetica-Normal" pitchFamily="2" charset="0"/>
              <a:ea typeface="+mn-ea"/>
              <a:cs typeface="+mn-cs"/>
            </a:defRPr>
          </a:pPr>
          <a:endParaRPr lang="en-US"/>
        </a:p>
      </c:txPr>
    </c:title>
    <c:autoTitleDeleted val="0"/>
    <c:plotArea>
      <c:layout>
        <c:manualLayout>
          <c:layoutTarget val="inner"/>
          <c:xMode val="edge"/>
          <c:yMode val="edge"/>
          <c:x val="0.1029412099865458"/>
          <c:y val="9.6701165285547785E-2"/>
          <c:w val="0.82125869819164721"/>
          <c:h val="0.79832378214719435"/>
        </c:manualLayout>
      </c:layout>
      <c:scatterChart>
        <c:scatterStyle val="smoothMarker"/>
        <c:varyColors val="0"/>
        <c:ser>
          <c:idx val="0"/>
          <c:order val="0"/>
          <c:tx>
            <c:strRef>
              <c:f>SkinEffect!$B$67</c:f>
              <c:strCache>
                <c:ptCount val="1"/>
                <c:pt idx="0">
                  <c:v>1</c:v>
                </c:pt>
              </c:strCache>
            </c:strRef>
          </c:tx>
          <c:spPr>
            <a:ln w="19050" cap="rnd">
              <a:solidFill>
                <a:schemeClr val="accent1"/>
              </a:solidFill>
              <a:round/>
            </a:ln>
            <a:effectLst/>
          </c:spPr>
          <c:marker>
            <c:symbol val="none"/>
          </c:marker>
          <c:xVal>
            <c:numRef>
              <c:f>SkinEffect!$A$69:$A$99</c:f>
              <c:numCache>
                <c:formatCode>General</c:formatCode>
                <c:ptCount val="31"/>
                <c:pt idx="0">
                  <c:v>10</c:v>
                </c:pt>
                <c:pt idx="1">
                  <c:v>20</c:v>
                </c:pt>
                <c:pt idx="2">
                  <c:v>50</c:v>
                </c:pt>
                <c:pt idx="3" formatCode="#,##0">
                  <c:v>100</c:v>
                </c:pt>
                <c:pt idx="4" formatCode="#,##0">
                  <c:v>200</c:v>
                </c:pt>
                <c:pt idx="5" formatCode="#,##0">
                  <c:v>500</c:v>
                </c:pt>
                <c:pt idx="6" formatCode="#,##0">
                  <c:v>1000</c:v>
                </c:pt>
                <c:pt idx="7" formatCode="#,##0">
                  <c:v>2000</c:v>
                </c:pt>
                <c:pt idx="8" formatCode="#,##0">
                  <c:v>5000</c:v>
                </c:pt>
                <c:pt idx="9" formatCode="#,##0">
                  <c:v>10000</c:v>
                </c:pt>
                <c:pt idx="10" formatCode="#,##0">
                  <c:v>20000</c:v>
                </c:pt>
                <c:pt idx="11" formatCode="#,##0">
                  <c:v>50000</c:v>
                </c:pt>
                <c:pt idx="12" formatCode="#,##0">
                  <c:v>100000</c:v>
                </c:pt>
                <c:pt idx="13" formatCode="#,##0">
                  <c:v>200000</c:v>
                </c:pt>
                <c:pt idx="14" formatCode="#,##0">
                  <c:v>500000</c:v>
                </c:pt>
                <c:pt idx="15" formatCode="#,##0">
                  <c:v>1000000</c:v>
                </c:pt>
                <c:pt idx="16" formatCode="#,##0">
                  <c:v>2000000</c:v>
                </c:pt>
                <c:pt idx="17" formatCode="#,##0">
                  <c:v>5000000</c:v>
                </c:pt>
                <c:pt idx="18" formatCode="#,##0">
                  <c:v>10000000</c:v>
                </c:pt>
                <c:pt idx="19" formatCode="#,##0">
                  <c:v>20000000</c:v>
                </c:pt>
                <c:pt idx="20" formatCode="#,##0">
                  <c:v>50000000</c:v>
                </c:pt>
                <c:pt idx="21" formatCode="#,##0">
                  <c:v>100000000</c:v>
                </c:pt>
                <c:pt idx="22" formatCode="#,##0">
                  <c:v>200000000</c:v>
                </c:pt>
                <c:pt idx="23" formatCode="#,##0">
                  <c:v>500000000</c:v>
                </c:pt>
                <c:pt idx="24" formatCode="#,##0">
                  <c:v>1000000000</c:v>
                </c:pt>
                <c:pt idx="25" formatCode="#,##0">
                  <c:v>2000000000</c:v>
                </c:pt>
                <c:pt idx="26" formatCode="#,##0">
                  <c:v>5000000000</c:v>
                </c:pt>
                <c:pt idx="27" formatCode="#,##0">
                  <c:v>10000000000</c:v>
                </c:pt>
                <c:pt idx="28" formatCode="#,##0">
                  <c:v>20000000000</c:v>
                </c:pt>
                <c:pt idx="29" formatCode="#,##0">
                  <c:v>50000000000</c:v>
                </c:pt>
                <c:pt idx="30" formatCode="#,##0">
                  <c:v>100000000000</c:v>
                </c:pt>
              </c:numCache>
            </c:numRef>
          </c:xVal>
          <c:yVal>
            <c:numRef>
              <c:f>SkinEffect!$H$69:$H$99</c:f>
              <c:numCache>
                <c:formatCode>@</c:formatCode>
                <c:ptCount val="31"/>
                <c:pt idx="0">
                  <c:v>2.195368989467935E-2</c:v>
                </c:pt>
                <c:pt idx="1">
                  <c:v>2.1954709504444048E-2</c:v>
                </c:pt>
                <c:pt idx="2">
                  <c:v>2.1957190608052322E-2</c:v>
                </c:pt>
                <c:pt idx="3">
                  <c:v>2.1960337480617903E-2</c:v>
                </c:pt>
                <c:pt idx="4">
                  <c:v>2.1964734112278596E-2</c:v>
                </c:pt>
                <c:pt idx="5">
                  <c:v>2.1971087589950707E-2</c:v>
                </c:pt>
                <c:pt idx="6">
                  <c:v>2.1972787606037582E-2</c:v>
                </c:pt>
                <c:pt idx="7">
                  <c:v>2.1968182327971042E-2</c:v>
                </c:pt>
                <c:pt idx="8">
                  <c:v>2.1974569077500072E-2</c:v>
                </c:pt>
                <c:pt idx="9">
                  <c:v>2.2087391229330178E-2</c:v>
                </c:pt>
                <c:pt idx="10">
                  <c:v>2.2556119759997089E-2</c:v>
                </c:pt>
                <c:pt idx="11">
                  <c:v>2.5232333487910468E-2</c:v>
                </c:pt>
                <c:pt idx="12">
                  <c:v>3.1855197711611188E-2</c:v>
                </c:pt>
                <c:pt idx="13">
                  <c:v>4.3120891791998212E-2</c:v>
                </c:pt>
                <c:pt idx="14">
                  <c:v>6.4624820169512695E-2</c:v>
                </c:pt>
                <c:pt idx="15">
                  <c:v>8.8819107301826766E-2</c:v>
                </c:pt>
                <c:pt idx="16">
                  <c:v>0.12315374834558822</c:v>
                </c:pt>
                <c:pt idx="17">
                  <c:v>0.19133821055456451</c:v>
                </c:pt>
                <c:pt idx="18">
                  <c:v>0.26821377945079738</c:v>
                </c:pt>
                <c:pt idx="19">
                  <c:v>0.37695957505447258</c:v>
                </c:pt>
                <c:pt idx="20">
                  <c:v>0.59275971488739299</c:v>
                </c:pt>
                <c:pt idx="21">
                  <c:v>0.83597927538427841</c:v>
                </c:pt>
                <c:pt idx="22">
                  <c:v>1.1799542591038883</c:v>
                </c:pt>
                <c:pt idx="23">
                  <c:v>1.8624577386710868</c:v>
                </c:pt>
                <c:pt idx="24">
                  <c:v>2.6316282462993827</c:v>
                </c:pt>
                <c:pt idx="25">
                  <c:v>3.7194029818383885</c:v>
                </c:pt>
                <c:pt idx="26">
                  <c:v>5.8776954160995842</c:v>
                </c:pt>
                <c:pt idx="27">
                  <c:v>8.3100396761377606</c:v>
                </c:pt>
                <c:pt idx="28">
                  <c:v>11.749894944846876</c:v>
                </c:pt>
                <c:pt idx="29">
                  <c:v>18.575023096351327</c:v>
                </c:pt>
                <c:pt idx="30">
                  <c:v>26.266774561133499</c:v>
                </c:pt>
              </c:numCache>
            </c:numRef>
          </c:yVal>
          <c:smooth val="1"/>
          <c:extLst>
            <c:ext xmlns:c16="http://schemas.microsoft.com/office/drawing/2014/chart" uri="{C3380CC4-5D6E-409C-BE32-E72D297353CC}">
              <c16:uniqueId val="{00000000-E7D9-44F9-A595-BB824E47E6A9}"/>
            </c:ext>
          </c:extLst>
        </c:ser>
        <c:dLbls>
          <c:showLegendKey val="0"/>
          <c:showVal val="0"/>
          <c:showCatName val="0"/>
          <c:showSerName val="0"/>
          <c:showPercent val="0"/>
          <c:showBubbleSize val="0"/>
        </c:dLbls>
        <c:axId val="618833768"/>
        <c:axId val="618835080"/>
      </c:scatterChart>
      <c:valAx>
        <c:axId val="618833768"/>
        <c:scaling>
          <c:logBase val="10"/>
          <c:orientation val="minMax"/>
          <c:min val="10"/>
        </c:scaling>
        <c:delete val="1"/>
        <c:axPos val="b"/>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latin typeface="Helvetica-Normal" pitchFamily="2" charset="0"/>
                  </a:rPr>
                  <a:t>Frequency [Hz]</a:t>
                </a:r>
              </a:p>
            </c:rich>
          </c:tx>
          <c:layout>
            <c:manualLayout>
              <c:xMode val="edge"/>
              <c:yMode val="edge"/>
              <c:x val="0.42723456990010589"/>
              <c:y val="0.943648703698315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618835080"/>
        <c:crossesAt val="1"/>
        <c:crossBetween val="midCat"/>
        <c:majorUnit val="10"/>
      </c:valAx>
      <c:valAx>
        <c:axId val="618835080"/>
        <c:scaling>
          <c:logBase val="10"/>
          <c:orientation val="minMax"/>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anose="020B0604020202020204" pitchFamily="34" charset="0"/>
                    <a:ea typeface="+mn-ea"/>
                    <a:cs typeface="Helvetica" panose="020B0604020202020204" pitchFamily="34" charset="0"/>
                  </a:defRPr>
                </a:pPr>
                <a:r>
                  <a:rPr lang="en-US" sz="1000" b="0" i="0" baseline="0">
                    <a:effectLst/>
                    <a:latin typeface="Helvetica" panose="020B0604020202020204" pitchFamily="34" charset="0"/>
                    <a:cs typeface="Helvetica" panose="020B0604020202020204" pitchFamily="34" charset="0"/>
                  </a:rPr>
                  <a:t>Resistance per unit length R' [</a:t>
                </a:r>
                <a:r>
                  <a:rPr lang="en-US" sz="1000" b="0" i="0" baseline="0">
                    <a:effectLst/>
                    <a:latin typeface="Symbol" panose="05050102010706020507" pitchFamily="18" charset="2"/>
                    <a:cs typeface="Helvetica" panose="020B0604020202020204" pitchFamily="34" charset="0"/>
                  </a:rPr>
                  <a:t>W</a:t>
                </a:r>
                <a:r>
                  <a:rPr lang="en-US" sz="1000" b="0" i="0" baseline="0">
                    <a:effectLst/>
                    <a:latin typeface="Helvetica" panose="020B0604020202020204" pitchFamily="34" charset="0"/>
                    <a:cs typeface="Helvetica" panose="020B0604020202020204" pitchFamily="34" charset="0"/>
                  </a:rPr>
                  <a:t>/m]</a:t>
                </a:r>
                <a:endParaRPr lang="de-CH" sz="1000">
                  <a:effectLst/>
                  <a:latin typeface="Helvetica" panose="020B0604020202020204" pitchFamily="34" charset="0"/>
                  <a:cs typeface="Helvetica" panose="020B0604020202020204" pitchFamily="34" charset="0"/>
                </a:endParaRPr>
              </a:p>
            </c:rich>
          </c:tx>
          <c:layout>
            <c:manualLayout>
              <c:xMode val="edge"/>
              <c:yMode val="edge"/>
              <c:x val="6.2517946868567527E-3"/>
              <c:y val="0.239950344430651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anose="020B0604020202020204" pitchFamily="34" charset="0"/>
                  <a:ea typeface="+mn-ea"/>
                  <a:cs typeface="Helvetica" panose="020B0604020202020204" pitchFamily="34" charset="0"/>
                </a:defRPr>
              </a:pPr>
              <a:endParaRPr lang="en-US"/>
            </a:p>
          </c:txPr>
        </c:title>
        <c:numFmt formatCode="0.00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833768"/>
        <c:crosses val="autoZero"/>
        <c:crossBetween val="midCat"/>
      </c:valAx>
      <c:spPr>
        <a:noFill/>
        <a:ln>
          <a:noFill/>
        </a:ln>
        <a:effectLst/>
      </c:spPr>
    </c:plotArea>
    <c:legend>
      <c:legendPos val="r"/>
      <c:layout>
        <c:manualLayout>
          <c:xMode val="edge"/>
          <c:yMode val="edge"/>
          <c:x val="0.80733097112860897"/>
          <c:y val="0.11505814406322197"/>
          <c:w val="9.1556036745406827E-2"/>
          <c:h val="5.2657300028968228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elvetica" panose="020B0604020202020204" pitchFamily="34" charset="0"/>
              <a:ea typeface="+mn-ea"/>
              <a:cs typeface="Helvetica"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Helvetica" panose="020B0604020202020204" pitchFamily="34" charset="0"/>
                <a:ea typeface="+mn-ea"/>
                <a:cs typeface="Helvetica" panose="020B0604020202020204" pitchFamily="34" charset="0"/>
              </a:defRPr>
            </a:pPr>
            <a:r>
              <a:rPr lang="en-US" sz="1000">
                <a:latin typeface="Helvetica" panose="020B0604020202020204" pitchFamily="34" charset="0"/>
                <a:cs typeface="Helvetica" panose="020B0604020202020204" pitchFamily="34" charset="0"/>
              </a:rPr>
              <a:t>Resistance per unit length R</a:t>
            </a:r>
            <a:r>
              <a:rPr lang="en-US" sz="1000" baseline="-25000">
                <a:latin typeface="Helvetica" panose="020B0604020202020204" pitchFamily="34" charset="0"/>
                <a:cs typeface="Helvetica" panose="020B0604020202020204" pitchFamily="34" charset="0"/>
              </a:rPr>
              <a:t>AC</a:t>
            </a:r>
            <a:r>
              <a:rPr lang="en-US" sz="1000">
                <a:latin typeface="Helvetica" panose="020B0604020202020204" pitchFamily="34" charset="0"/>
                <a:cs typeface="Helvetica" panose="020B0604020202020204" pitchFamily="34" charset="0"/>
              </a:rPr>
              <a:t>' [</a:t>
            </a:r>
            <a:r>
              <a:rPr lang="en-US" sz="1000">
                <a:latin typeface="Symbol" panose="05050102010706020507" pitchFamily="18" charset="2"/>
                <a:cs typeface="Helvetica" panose="020B0604020202020204" pitchFamily="34" charset="0"/>
              </a:rPr>
              <a:t>W</a:t>
            </a:r>
            <a:r>
              <a:rPr lang="en-US" sz="1000">
                <a:latin typeface="Helvetica" panose="020B0604020202020204" pitchFamily="34" charset="0"/>
                <a:cs typeface="Helvetica" panose="020B0604020202020204" pitchFamily="34" charset="0"/>
              </a:rPr>
              <a:t>/m] of a PCB trace</a:t>
            </a:r>
            <a:r>
              <a:rPr lang="en-US" sz="1000" baseline="0">
                <a:latin typeface="Helvetica" panose="020B0604020202020204" pitchFamily="34" charset="0"/>
                <a:cs typeface="Helvetica" panose="020B0604020202020204" pitchFamily="34" charset="0"/>
              </a:rPr>
              <a:t> with width </a:t>
            </a:r>
            <a:r>
              <a:rPr lang="en-US" sz="1000" i="1" baseline="0">
                <a:latin typeface="Helvetica" panose="020B0604020202020204" pitchFamily="34" charset="0"/>
                <a:cs typeface="Helvetica" panose="020B0604020202020204" pitchFamily="34" charset="0"/>
              </a:rPr>
              <a:t>w</a:t>
            </a:r>
            <a:r>
              <a:rPr lang="en-US" sz="1000" baseline="0">
                <a:latin typeface="Helvetica" panose="020B0604020202020204" pitchFamily="34" charset="0"/>
                <a:cs typeface="Helvetica" panose="020B0604020202020204" pitchFamily="34" charset="0"/>
              </a:rPr>
              <a:t> and heigth </a:t>
            </a:r>
            <a:r>
              <a:rPr lang="en-US" sz="1000" i="1" baseline="0">
                <a:latin typeface="Helvetica" panose="020B0604020202020204" pitchFamily="34" charset="0"/>
                <a:cs typeface="Helvetica" panose="020B0604020202020204" pitchFamily="34" charset="0"/>
              </a:rPr>
              <a:t>h</a:t>
            </a:r>
            <a:r>
              <a:rPr lang="en-US" sz="1000">
                <a:latin typeface="Helvetica" panose="020B0604020202020204" pitchFamily="34" charset="0"/>
                <a:cs typeface="Helvetica" panose="020B0604020202020204" pitchFamily="34" charset="0"/>
              </a:rPr>
              <a:t> </a:t>
            </a:r>
          </a:p>
        </c:rich>
      </c:tx>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Helvetica" panose="020B0604020202020204" pitchFamily="34" charset="0"/>
              <a:ea typeface="+mn-ea"/>
              <a:cs typeface="Helvetica" panose="020B0604020202020204" pitchFamily="34" charset="0"/>
            </a:defRPr>
          </a:pPr>
          <a:endParaRPr lang="en-US"/>
        </a:p>
      </c:txPr>
    </c:title>
    <c:autoTitleDeleted val="0"/>
    <c:plotArea>
      <c:layout>
        <c:manualLayout>
          <c:layoutTarget val="inner"/>
          <c:xMode val="edge"/>
          <c:yMode val="edge"/>
          <c:x val="0.1029412099865458"/>
          <c:y val="9.6701165285547785E-2"/>
          <c:w val="0.82125869819164721"/>
          <c:h val="0.79832378214719435"/>
        </c:manualLayout>
      </c:layout>
      <c:scatterChart>
        <c:scatterStyle val="smoothMarker"/>
        <c:varyColors val="0"/>
        <c:ser>
          <c:idx val="0"/>
          <c:order val="0"/>
          <c:spPr>
            <a:ln w="19050" cap="rnd">
              <a:solidFill>
                <a:schemeClr val="accent1"/>
              </a:solidFill>
              <a:round/>
            </a:ln>
            <a:effectLst/>
          </c:spPr>
          <c:marker>
            <c:symbol val="none"/>
          </c:marker>
          <c:xVal>
            <c:numRef>
              <c:f>SkinEffect!$A$114:$A$144</c:f>
              <c:numCache>
                <c:formatCode>General</c:formatCode>
                <c:ptCount val="31"/>
                <c:pt idx="0">
                  <c:v>10</c:v>
                </c:pt>
                <c:pt idx="1">
                  <c:v>20</c:v>
                </c:pt>
                <c:pt idx="2">
                  <c:v>50</c:v>
                </c:pt>
                <c:pt idx="3" formatCode="#,##0">
                  <c:v>100</c:v>
                </c:pt>
                <c:pt idx="4" formatCode="#,##0">
                  <c:v>200</c:v>
                </c:pt>
                <c:pt idx="5" formatCode="#,##0">
                  <c:v>500</c:v>
                </c:pt>
                <c:pt idx="6" formatCode="#,##0">
                  <c:v>1000</c:v>
                </c:pt>
                <c:pt idx="7" formatCode="#,##0">
                  <c:v>2000</c:v>
                </c:pt>
                <c:pt idx="8" formatCode="#,##0">
                  <c:v>5000</c:v>
                </c:pt>
                <c:pt idx="9" formatCode="#,##0">
                  <c:v>10000</c:v>
                </c:pt>
                <c:pt idx="10" formatCode="#,##0">
                  <c:v>20000</c:v>
                </c:pt>
                <c:pt idx="11" formatCode="#,##0">
                  <c:v>50000</c:v>
                </c:pt>
                <c:pt idx="12" formatCode="#,##0">
                  <c:v>100000</c:v>
                </c:pt>
                <c:pt idx="13" formatCode="#,##0">
                  <c:v>200000</c:v>
                </c:pt>
                <c:pt idx="14" formatCode="#,##0">
                  <c:v>500000</c:v>
                </c:pt>
                <c:pt idx="15" formatCode="#,##0">
                  <c:v>1000000</c:v>
                </c:pt>
                <c:pt idx="16" formatCode="#,##0">
                  <c:v>2000000</c:v>
                </c:pt>
                <c:pt idx="17" formatCode="#,##0">
                  <c:v>5000000</c:v>
                </c:pt>
                <c:pt idx="18" formatCode="#,##0">
                  <c:v>10000000</c:v>
                </c:pt>
                <c:pt idx="19" formatCode="#,##0">
                  <c:v>20000000</c:v>
                </c:pt>
                <c:pt idx="20" formatCode="#,##0">
                  <c:v>50000000</c:v>
                </c:pt>
                <c:pt idx="21" formatCode="#,##0">
                  <c:v>100000000</c:v>
                </c:pt>
                <c:pt idx="22" formatCode="#,##0">
                  <c:v>200000000</c:v>
                </c:pt>
                <c:pt idx="23" formatCode="#,##0">
                  <c:v>500000000</c:v>
                </c:pt>
                <c:pt idx="24" formatCode="#,##0">
                  <c:v>1000000000</c:v>
                </c:pt>
                <c:pt idx="25" formatCode="#,##0">
                  <c:v>2000000000</c:v>
                </c:pt>
                <c:pt idx="26" formatCode="#,##0">
                  <c:v>5000000000</c:v>
                </c:pt>
                <c:pt idx="27" formatCode="#,##0">
                  <c:v>10000000000</c:v>
                </c:pt>
                <c:pt idx="28" formatCode="#,##0">
                  <c:v>20000000000</c:v>
                </c:pt>
                <c:pt idx="29" formatCode="#,##0">
                  <c:v>50000000000</c:v>
                </c:pt>
                <c:pt idx="30" formatCode="#,##0">
                  <c:v>100000000000</c:v>
                </c:pt>
              </c:numCache>
            </c:numRef>
          </c:xVal>
          <c:yVal>
            <c:numRef>
              <c:f>SkinEffect!$G$114:$G$144</c:f>
              <c:numCache>
                <c:formatCode>@</c:formatCode>
                <c:ptCount val="31"/>
                <c:pt idx="0">
                  <c:v>1.9704433497536944</c:v>
                </c:pt>
                <c:pt idx="1">
                  <c:v>1.9704433497536944</c:v>
                </c:pt>
                <c:pt idx="2">
                  <c:v>1.9704433497536944</c:v>
                </c:pt>
                <c:pt idx="3">
                  <c:v>1.9704433497536944</c:v>
                </c:pt>
                <c:pt idx="4">
                  <c:v>1.9704433497536944</c:v>
                </c:pt>
                <c:pt idx="5">
                  <c:v>1.9704433497536944</c:v>
                </c:pt>
                <c:pt idx="6">
                  <c:v>1.9704433497536944</c:v>
                </c:pt>
                <c:pt idx="7">
                  <c:v>1.9704433497536944</c:v>
                </c:pt>
                <c:pt idx="8">
                  <c:v>1.9704433497536944</c:v>
                </c:pt>
                <c:pt idx="9">
                  <c:v>1.9704433497536944</c:v>
                </c:pt>
                <c:pt idx="10">
                  <c:v>1.9704433497536944</c:v>
                </c:pt>
                <c:pt idx="11">
                  <c:v>1.9704433497536944</c:v>
                </c:pt>
                <c:pt idx="12">
                  <c:v>1.9704433497536944</c:v>
                </c:pt>
                <c:pt idx="13">
                  <c:v>1.9704433497536944</c:v>
                </c:pt>
                <c:pt idx="14">
                  <c:v>1.9704433497536944</c:v>
                </c:pt>
                <c:pt idx="15">
                  <c:v>1.9704433497536944</c:v>
                </c:pt>
                <c:pt idx="16">
                  <c:v>1.9704433497536944</c:v>
                </c:pt>
                <c:pt idx="17">
                  <c:v>1.9704433497536944</c:v>
                </c:pt>
                <c:pt idx="18">
                  <c:v>1.9704433497536944</c:v>
                </c:pt>
                <c:pt idx="19">
                  <c:v>2.2837698225851399</c:v>
                </c:pt>
                <c:pt idx="20">
                  <c:v>3.4636686524929172</c:v>
                </c:pt>
                <c:pt idx="21">
                  <c:v>4.7996961561209988</c:v>
                </c:pt>
                <c:pt idx="22">
                  <c:v>6.6924697579694161</c:v>
                </c:pt>
                <c:pt idx="23">
                  <c:v>10.451483763170632</c:v>
                </c:pt>
                <c:pt idx="24">
                  <c:v>14.689507762960964</c:v>
                </c:pt>
                <c:pt idx="25">
                  <c:v>20.683933609396913</c:v>
                </c:pt>
                <c:pt idx="26">
                  <c:v>32.57869848561559</c:v>
                </c:pt>
                <c:pt idx="27">
                  <c:v>45.984320486787084</c:v>
                </c:pt>
                <c:pt idx="28">
                  <c:v>64.943025272614094</c:v>
                </c:pt>
                <c:pt idx="29">
                  <c:v>102.55991792402774</c:v>
                </c:pt>
                <c:pt idx="30">
                  <c:v>144.95338744989289</c:v>
                </c:pt>
              </c:numCache>
            </c:numRef>
          </c:yVal>
          <c:smooth val="1"/>
          <c:extLst>
            <c:ext xmlns:c16="http://schemas.microsoft.com/office/drawing/2014/chart" uri="{C3380CC4-5D6E-409C-BE32-E72D297353CC}">
              <c16:uniqueId val="{00000000-8F1B-4A29-8708-CFC7CB63E18A}"/>
            </c:ext>
          </c:extLst>
        </c:ser>
        <c:dLbls>
          <c:showLegendKey val="0"/>
          <c:showVal val="0"/>
          <c:showCatName val="0"/>
          <c:showSerName val="0"/>
          <c:showPercent val="0"/>
          <c:showBubbleSize val="0"/>
        </c:dLbls>
        <c:axId val="618833768"/>
        <c:axId val="618835080"/>
      </c:scatterChart>
      <c:valAx>
        <c:axId val="618833768"/>
        <c:scaling>
          <c:logBase val="10"/>
          <c:orientation val="minMax"/>
          <c:min val="10"/>
        </c:scaling>
        <c:delete val="1"/>
        <c:axPos val="b"/>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latin typeface="Helvetica-Normal" pitchFamily="2" charset="0"/>
                  </a:rPr>
                  <a:t>Frequency [Hz]</a:t>
                </a:r>
              </a:p>
            </c:rich>
          </c:tx>
          <c:layout>
            <c:manualLayout>
              <c:xMode val="edge"/>
              <c:yMode val="edge"/>
              <c:x val="0.42723456990010589"/>
              <c:y val="0.943648703698315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618835080"/>
        <c:crossesAt val="1"/>
        <c:crossBetween val="midCat"/>
        <c:majorUnit val="10"/>
      </c:valAx>
      <c:valAx>
        <c:axId val="618835080"/>
        <c:scaling>
          <c:logBase val="10"/>
          <c:orientation val="minMax"/>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anose="020B0604020202020204" pitchFamily="34" charset="0"/>
                    <a:ea typeface="+mn-ea"/>
                    <a:cs typeface="Helvetica" panose="020B0604020202020204" pitchFamily="34" charset="0"/>
                  </a:defRPr>
                </a:pPr>
                <a:r>
                  <a:rPr lang="en-US" sz="1000" b="0" i="0" baseline="0">
                    <a:effectLst/>
                    <a:latin typeface="Helvetica" panose="020B0604020202020204" pitchFamily="34" charset="0"/>
                    <a:cs typeface="Helvetica" panose="020B0604020202020204" pitchFamily="34" charset="0"/>
                  </a:rPr>
                  <a:t>Resistance per unit length R' [</a:t>
                </a:r>
                <a:r>
                  <a:rPr lang="en-US" sz="1000" b="0" i="0" baseline="0">
                    <a:effectLst/>
                    <a:latin typeface="Symbol" panose="05050102010706020507" pitchFamily="18" charset="2"/>
                    <a:cs typeface="Helvetica" panose="020B0604020202020204" pitchFamily="34" charset="0"/>
                  </a:rPr>
                  <a:t>W</a:t>
                </a:r>
                <a:r>
                  <a:rPr lang="en-US" sz="1000" b="0" i="0" baseline="0">
                    <a:effectLst/>
                    <a:latin typeface="Helvetica" panose="020B0604020202020204" pitchFamily="34" charset="0"/>
                    <a:cs typeface="Helvetica" panose="020B0604020202020204" pitchFamily="34" charset="0"/>
                  </a:rPr>
                  <a:t>/m]</a:t>
                </a:r>
                <a:endParaRPr lang="de-CH" sz="1000">
                  <a:effectLst/>
                  <a:latin typeface="Helvetica" panose="020B0604020202020204" pitchFamily="34" charset="0"/>
                  <a:cs typeface="Helvetica" panose="020B0604020202020204" pitchFamily="34" charset="0"/>
                </a:endParaRPr>
              </a:p>
            </c:rich>
          </c:tx>
          <c:layout>
            <c:manualLayout>
              <c:xMode val="edge"/>
              <c:yMode val="edge"/>
              <c:x val="6.3844592670604002E-3"/>
              <c:y val="0.3003033993656578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anose="020B0604020202020204" pitchFamily="34" charset="0"/>
                  <a:ea typeface="+mn-ea"/>
                  <a:cs typeface="Helvetica" panose="020B0604020202020204" pitchFamily="34" charset="0"/>
                </a:defRPr>
              </a:pPr>
              <a:endParaRPr lang="en-US"/>
            </a:p>
          </c:txPr>
        </c:title>
        <c:numFmt formatCode="0.00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8337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all" spc="120" normalizeH="0" baseline="0">
                <a:solidFill>
                  <a:sysClr val="windowText" lastClr="000000"/>
                </a:solidFill>
                <a:latin typeface="Helvetica" panose="020B0604020202020204" pitchFamily="34" charset="0"/>
                <a:ea typeface="+mn-ea"/>
                <a:cs typeface="Helvetica" panose="020B0604020202020204" pitchFamily="34" charset="0"/>
              </a:defRPr>
            </a:pPr>
            <a:r>
              <a:rPr lang="en-US" sz="900" b="0" cap="none" baseline="0">
                <a:solidFill>
                  <a:sysClr val="windowText" lastClr="000000"/>
                </a:solidFill>
                <a:latin typeface="Helvetica" panose="020B0604020202020204" pitchFamily="34" charset="0"/>
                <a:cs typeface="Helvetica" panose="020B0604020202020204" pitchFamily="34" charset="0"/>
              </a:rPr>
              <a:t>Shielding Effectiveness (SE) for plane waves in the far-field.</a:t>
            </a:r>
          </a:p>
          <a:p>
            <a:pPr>
              <a:defRPr sz="900" b="0">
                <a:solidFill>
                  <a:sysClr val="windowText" lastClr="000000"/>
                </a:solidFill>
                <a:latin typeface="Helvetica" panose="020B0604020202020204" pitchFamily="34" charset="0"/>
                <a:cs typeface="Helvetica" panose="020B0604020202020204" pitchFamily="34" charset="0"/>
              </a:defRPr>
            </a:pPr>
            <a:r>
              <a:rPr lang="en-US" sz="900" b="0" cap="none" baseline="0">
                <a:solidFill>
                  <a:sysClr val="windowText" lastClr="000000"/>
                </a:solidFill>
                <a:latin typeface="Helvetica" panose="020B0604020202020204" pitchFamily="34" charset="0"/>
                <a:cs typeface="Helvetica" panose="020B0604020202020204" pitchFamily="34" charset="0"/>
              </a:rPr>
              <a:t>Medium before and after the shield = air.</a:t>
            </a:r>
          </a:p>
        </c:rich>
      </c:tx>
      <c:layout>
        <c:manualLayout>
          <c:xMode val="edge"/>
          <c:yMode val="edge"/>
          <c:x val="0.13665609244324228"/>
          <c:y val="6.2930339271112912E-2"/>
        </c:manualLayout>
      </c:layout>
      <c:overlay val="0"/>
      <c:spPr>
        <a:noFill/>
        <a:ln>
          <a:noFill/>
        </a:ln>
        <a:effectLst/>
      </c:spPr>
      <c:txPr>
        <a:bodyPr rot="0" spcFirstLastPara="1" vertOverflow="ellipsis" vert="horz" wrap="square" anchor="ctr" anchorCtr="1"/>
        <a:lstStyle/>
        <a:p>
          <a:pPr>
            <a:defRPr sz="900" b="0" i="0" u="none" strike="noStrike" kern="1200" cap="all" spc="120" normalizeH="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autoTitleDeleted val="0"/>
    <c:plotArea>
      <c:layout>
        <c:manualLayout>
          <c:layoutTarget val="inner"/>
          <c:xMode val="edge"/>
          <c:yMode val="edge"/>
          <c:x val="0.10441629880896086"/>
          <c:y val="0.16325421792141193"/>
          <c:w val="0.84096001711090751"/>
          <c:h val="0.71099533894470091"/>
        </c:manualLayout>
      </c:layout>
      <c:scatterChart>
        <c:scatterStyle val="smoothMarker"/>
        <c:varyColors val="0"/>
        <c:ser>
          <c:idx val="0"/>
          <c:order val="0"/>
          <c:tx>
            <c:v>Reflection loss R</c:v>
          </c:tx>
          <c:spPr>
            <a:ln w="28575" cap="rnd">
              <a:solidFill>
                <a:schemeClr val="accent2"/>
              </a:solidFill>
              <a:prstDash val="dash"/>
              <a:round/>
            </a:ln>
            <a:effectLst/>
          </c:spPr>
          <c:marker>
            <c:symbol val="none"/>
          </c:marker>
          <c:xVal>
            <c:numRef>
              <c:f>Shielding!$A$50:$A$268</c:f>
              <c:numCache>
                <c:formatCode>0.00E+00</c:formatCode>
                <c:ptCount val="219"/>
                <c:pt idx="0">
                  <c:v>10</c:v>
                </c:pt>
                <c:pt idx="1">
                  <c:v>11</c:v>
                </c:pt>
                <c:pt idx="2">
                  <c:v>12.100000000000001</c:v>
                </c:pt>
                <c:pt idx="3">
                  <c:v>13.310000000000002</c:v>
                </c:pt>
                <c:pt idx="4">
                  <c:v>14.641000000000004</c:v>
                </c:pt>
                <c:pt idx="5">
                  <c:v>16.105100000000004</c:v>
                </c:pt>
                <c:pt idx="6">
                  <c:v>17.715610000000005</c:v>
                </c:pt>
                <c:pt idx="7">
                  <c:v>19.487171000000007</c:v>
                </c:pt>
                <c:pt idx="8">
                  <c:v>21.43588810000001</c:v>
                </c:pt>
                <c:pt idx="9">
                  <c:v>23.579476910000015</c:v>
                </c:pt>
                <c:pt idx="10">
                  <c:v>25.937424601000018</c:v>
                </c:pt>
                <c:pt idx="11">
                  <c:v>28.531167061100021</c:v>
                </c:pt>
                <c:pt idx="12">
                  <c:v>31.384283767210025</c:v>
                </c:pt>
                <c:pt idx="13">
                  <c:v>34.522712143931031</c:v>
                </c:pt>
                <c:pt idx="14">
                  <c:v>37.974983358324138</c:v>
                </c:pt>
                <c:pt idx="15">
                  <c:v>41.772481694156554</c:v>
                </c:pt>
                <c:pt idx="16">
                  <c:v>45.949729863572216</c:v>
                </c:pt>
                <c:pt idx="17">
                  <c:v>50.544702849929443</c:v>
                </c:pt>
                <c:pt idx="18">
                  <c:v>55.599173134922395</c:v>
                </c:pt>
                <c:pt idx="19">
                  <c:v>61.159090448414638</c:v>
                </c:pt>
                <c:pt idx="20">
                  <c:v>67.274999493256104</c:v>
                </c:pt>
                <c:pt idx="21">
                  <c:v>74.002499442581723</c:v>
                </c:pt>
                <c:pt idx="22">
                  <c:v>81.402749386839901</c:v>
                </c:pt>
                <c:pt idx="23">
                  <c:v>89.543024325523902</c:v>
                </c:pt>
                <c:pt idx="24">
                  <c:v>98.497326758076298</c:v>
                </c:pt>
                <c:pt idx="25">
                  <c:v>108.34705943388394</c:v>
                </c:pt>
                <c:pt idx="26">
                  <c:v>119.18176537727234</c:v>
                </c:pt>
                <c:pt idx="27">
                  <c:v>131.09994191499959</c:v>
                </c:pt>
                <c:pt idx="28">
                  <c:v>144.20993610649955</c:v>
                </c:pt>
                <c:pt idx="29">
                  <c:v>158.63092971714951</c:v>
                </c:pt>
                <c:pt idx="30">
                  <c:v>174.49402268886448</c:v>
                </c:pt>
                <c:pt idx="31">
                  <c:v>191.94342495775095</c:v>
                </c:pt>
                <c:pt idx="32">
                  <c:v>211.13776745352607</c:v>
                </c:pt>
                <c:pt idx="33">
                  <c:v>232.25154419887869</c:v>
                </c:pt>
                <c:pt idx="34">
                  <c:v>255.47669861876659</c:v>
                </c:pt>
                <c:pt idx="35">
                  <c:v>281.02436848064326</c:v>
                </c:pt>
                <c:pt idx="36">
                  <c:v>309.12680532870763</c:v>
                </c:pt>
                <c:pt idx="37">
                  <c:v>340.03948586157844</c:v>
                </c:pt>
                <c:pt idx="38">
                  <c:v>374.04343444773633</c:v>
                </c:pt>
                <c:pt idx="39">
                  <c:v>411.44777789250998</c:v>
                </c:pt>
                <c:pt idx="40">
                  <c:v>452.59255568176098</c:v>
                </c:pt>
                <c:pt idx="41">
                  <c:v>497.8518112499371</c:v>
                </c:pt>
                <c:pt idx="42">
                  <c:v>547.63699237493086</c:v>
                </c:pt>
                <c:pt idx="43">
                  <c:v>602.400691612424</c:v>
                </c:pt>
                <c:pt idx="44">
                  <c:v>662.64076077366644</c:v>
                </c:pt>
                <c:pt idx="45">
                  <c:v>728.90483685103311</c:v>
                </c:pt>
                <c:pt idx="46">
                  <c:v>801.7953205361365</c:v>
                </c:pt>
                <c:pt idx="47">
                  <c:v>881.97485258975018</c:v>
                </c:pt>
                <c:pt idx="48">
                  <c:v>970.17233784872531</c:v>
                </c:pt>
                <c:pt idx="49">
                  <c:v>1067.189571633598</c:v>
                </c:pt>
                <c:pt idx="50">
                  <c:v>1173.9085287969579</c:v>
                </c:pt>
                <c:pt idx="51">
                  <c:v>1291.2993816766536</c:v>
                </c:pt>
                <c:pt idx="52">
                  <c:v>1420.429319844319</c:v>
                </c:pt>
                <c:pt idx="53">
                  <c:v>1562.472251828751</c:v>
                </c:pt>
                <c:pt idx="54">
                  <c:v>1718.7194770116264</c:v>
                </c:pt>
                <c:pt idx="55">
                  <c:v>1890.5914247127891</c:v>
                </c:pt>
                <c:pt idx="56">
                  <c:v>2079.6505671840682</c:v>
                </c:pt>
                <c:pt idx="57">
                  <c:v>2287.6156239024754</c:v>
                </c:pt>
                <c:pt idx="58">
                  <c:v>2516.3771862927233</c:v>
                </c:pt>
                <c:pt idx="59">
                  <c:v>2768.0149049219958</c:v>
                </c:pt>
                <c:pt idx="60">
                  <c:v>3044.8163954141955</c:v>
                </c:pt>
                <c:pt idx="61">
                  <c:v>3349.2980349556155</c:v>
                </c:pt>
                <c:pt idx="62">
                  <c:v>3684.2278384511774</c:v>
                </c:pt>
                <c:pt idx="63">
                  <c:v>4052.6506222962953</c:v>
                </c:pt>
                <c:pt idx="64">
                  <c:v>4457.9156845259249</c:v>
                </c:pt>
                <c:pt idx="65">
                  <c:v>4903.7072529785182</c:v>
                </c:pt>
                <c:pt idx="66">
                  <c:v>5394.0779782763702</c:v>
                </c:pt>
                <c:pt idx="67">
                  <c:v>5933.4857761040075</c:v>
                </c:pt>
                <c:pt idx="68">
                  <c:v>6526.8343537144092</c:v>
                </c:pt>
                <c:pt idx="69">
                  <c:v>7179.5177890858504</c:v>
                </c:pt>
                <c:pt idx="70">
                  <c:v>7897.4695679944361</c:v>
                </c:pt>
                <c:pt idx="71">
                  <c:v>8687.216524793881</c:v>
                </c:pt>
                <c:pt idx="72">
                  <c:v>9555.9381772732704</c:v>
                </c:pt>
                <c:pt idx="73">
                  <c:v>10511.531995000598</c:v>
                </c:pt>
                <c:pt idx="74">
                  <c:v>11562.685194500658</c:v>
                </c:pt>
                <c:pt idx="75">
                  <c:v>12718.953713950725</c:v>
                </c:pt>
                <c:pt idx="76">
                  <c:v>13990.849085345799</c:v>
                </c:pt>
                <c:pt idx="77">
                  <c:v>15389.933993880381</c:v>
                </c:pt>
                <c:pt idx="78">
                  <c:v>16928.927393268419</c:v>
                </c:pt>
                <c:pt idx="79">
                  <c:v>18621.820132595261</c:v>
                </c:pt>
                <c:pt idx="80">
                  <c:v>20484.002145854789</c:v>
                </c:pt>
                <c:pt idx="81">
                  <c:v>22532.402360440268</c:v>
                </c:pt>
                <c:pt idx="82">
                  <c:v>24785.642596484297</c:v>
                </c:pt>
                <c:pt idx="83">
                  <c:v>27264.206856132729</c:v>
                </c:pt>
                <c:pt idx="84">
                  <c:v>29990.627541746006</c:v>
                </c:pt>
                <c:pt idx="85">
                  <c:v>32989.690295920605</c:v>
                </c:pt>
                <c:pt idx="86">
                  <c:v>36288.659325512672</c:v>
                </c:pt>
                <c:pt idx="87">
                  <c:v>39917.525258063943</c:v>
                </c:pt>
                <c:pt idx="88">
                  <c:v>43909.27778387034</c:v>
                </c:pt>
                <c:pt idx="89">
                  <c:v>48300.205562257375</c:v>
                </c:pt>
                <c:pt idx="90">
                  <c:v>53130.226118483115</c:v>
                </c:pt>
                <c:pt idx="91">
                  <c:v>58443.248730331434</c:v>
                </c:pt>
                <c:pt idx="92">
                  <c:v>64287.573603364581</c:v>
                </c:pt>
                <c:pt idx="93">
                  <c:v>70716.330963701039</c:v>
                </c:pt>
                <c:pt idx="94">
                  <c:v>77787.964060071143</c:v>
                </c:pt>
                <c:pt idx="95">
                  <c:v>85566.760466078267</c:v>
                </c:pt>
                <c:pt idx="96">
                  <c:v>94123.436512686108</c:v>
                </c:pt>
                <c:pt idx="97">
                  <c:v>103535.78016395473</c:v>
                </c:pt>
                <c:pt idx="98">
                  <c:v>113889.3581803502</c:v>
                </c:pt>
                <c:pt idx="99">
                  <c:v>125278.29399838523</c:v>
                </c:pt>
                <c:pt idx="100">
                  <c:v>137806.12339822375</c:v>
                </c:pt>
                <c:pt idx="101">
                  <c:v>151586.73573804615</c:v>
                </c:pt>
                <c:pt idx="102">
                  <c:v>166745.40931185079</c:v>
                </c:pt>
                <c:pt idx="103">
                  <c:v>183419.95024303588</c:v>
                </c:pt>
                <c:pt idx="104">
                  <c:v>201761.9452673395</c:v>
                </c:pt>
                <c:pt idx="105">
                  <c:v>221938.13979407348</c:v>
                </c:pt>
                <c:pt idx="106">
                  <c:v>244131.95377348084</c:v>
                </c:pt>
                <c:pt idx="107">
                  <c:v>268545.14915082895</c:v>
                </c:pt>
                <c:pt idx="108">
                  <c:v>295399.66406591184</c:v>
                </c:pt>
                <c:pt idx="109">
                  <c:v>324939.63047250308</c:v>
                </c:pt>
                <c:pt idx="110">
                  <c:v>357433.59351975343</c:v>
                </c:pt>
                <c:pt idx="111">
                  <c:v>393176.9528717288</c:v>
                </c:pt>
                <c:pt idx="112">
                  <c:v>432494.64815890172</c:v>
                </c:pt>
                <c:pt idx="113">
                  <c:v>475744.1129747919</c:v>
                </c:pt>
                <c:pt idx="114">
                  <c:v>523318.52427227114</c:v>
                </c:pt>
                <c:pt idx="115">
                  <c:v>575650.37669949827</c:v>
                </c:pt>
                <c:pt idx="116">
                  <c:v>633215.4143694482</c:v>
                </c:pt>
                <c:pt idx="117">
                  <c:v>696536.95580639306</c:v>
                </c:pt>
                <c:pt idx="118">
                  <c:v>766190.65138703247</c:v>
                </c:pt>
                <c:pt idx="119">
                  <c:v>842809.7165257358</c:v>
                </c:pt>
                <c:pt idx="120">
                  <c:v>927090.68817830947</c:v>
                </c:pt>
                <c:pt idx="121">
                  <c:v>1019799.7569961405</c:v>
                </c:pt>
                <c:pt idx="122">
                  <c:v>1121779.7326957546</c:v>
                </c:pt>
                <c:pt idx="123">
                  <c:v>1233957.7059653301</c:v>
                </c:pt>
                <c:pt idx="124">
                  <c:v>1357353.4765618632</c:v>
                </c:pt>
                <c:pt idx="125">
                  <c:v>1493088.8242180496</c:v>
                </c:pt>
                <c:pt idx="126">
                  <c:v>1642397.7066398547</c:v>
                </c:pt>
                <c:pt idx="127">
                  <c:v>1806637.4773038402</c:v>
                </c:pt>
                <c:pt idx="128">
                  <c:v>1987301.2250342243</c:v>
                </c:pt>
                <c:pt idx="129">
                  <c:v>2186031.347537647</c:v>
                </c:pt>
                <c:pt idx="130">
                  <c:v>2404634.4822914121</c:v>
                </c:pt>
                <c:pt idx="131">
                  <c:v>2645097.9305205536</c:v>
                </c:pt>
                <c:pt idx="132">
                  <c:v>2909607.723572609</c:v>
                </c:pt>
                <c:pt idx="133">
                  <c:v>3200568.4959298703</c:v>
                </c:pt>
                <c:pt idx="134">
                  <c:v>3520625.3455228577</c:v>
                </c:pt>
                <c:pt idx="135">
                  <c:v>3872687.8800751437</c:v>
                </c:pt>
                <c:pt idx="136">
                  <c:v>4259956.6680826582</c:v>
                </c:pt>
                <c:pt idx="137">
                  <c:v>4685952.3348909244</c:v>
                </c:pt>
                <c:pt idx="138">
                  <c:v>5154547.5683800168</c:v>
                </c:pt>
                <c:pt idx="139">
                  <c:v>5670002.3252180191</c:v>
                </c:pt>
                <c:pt idx="140">
                  <c:v>6237002.5577398213</c:v>
                </c:pt>
                <c:pt idx="141">
                  <c:v>6860702.8135138042</c:v>
                </c:pt>
                <c:pt idx="142">
                  <c:v>7546773.0948651852</c:v>
                </c:pt>
                <c:pt idx="143">
                  <c:v>8301450.4043517048</c:v>
                </c:pt>
                <c:pt idx="144">
                  <c:v>9131595.4447868764</c:v>
                </c:pt>
                <c:pt idx="145">
                  <c:v>10044754.989265565</c:v>
                </c:pt>
                <c:pt idx="146">
                  <c:v>11049230.488192122</c:v>
                </c:pt>
                <c:pt idx="147">
                  <c:v>12154153.537011337</c:v>
                </c:pt>
                <c:pt idx="148">
                  <c:v>13369568.890712472</c:v>
                </c:pt>
                <c:pt idx="149">
                  <c:v>14706525.77978372</c:v>
                </c:pt>
                <c:pt idx="150">
                  <c:v>16177178.357762093</c:v>
                </c:pt>
                <c:pt idx="151">
                  <c:v>17794896.193538304</c:v>
                </c:pt>
                <c:pt idx="152">
                  <c:v>19574385.812892135</c:v>
                </c:pt>
                <c:pt idx="153">
                  <c:v>21531824.394181352</c:v>
                </c:pt>
                <c:pt idx="154">
                  <c:v>23685006.833599489</c:v>
                </c:pt>
                <c:pt idx="155">
                  <c:v>26053507.51695944</c:v>
                </c:pt>
                <c:pt idx="156">
                  <c:v>28658858.268655386</c:v>
                </c:pt>
                <c:pt idx="157">
                  <c:v>31524744.095520929</c:v>
                </c:pt>
                <c:pt idx="158">
                  <c:v>34677218.505073026</c:v>
                </c:pt>
                <c:pt idx="159">
                  <c:v>38144940.35558033</c:v>
                </c:pt>
                <c:pt idx="160">
                  <c:v>41959434.391138367</c:v>
                </c:pt>
                <c:pt idx="161">
                  <c:v>46155377.830252208</c:v>
                </c:pt>
                <c:pt idx="162">
                  <c:v>50770915.613277435</c:v>
                </c:pt>
                <c:pt idx="163">
                  <c:v>55848007.174605183</c:v>
                </c:pt>
                <c:pt idx="164">
                  <c:v>61432807.892065704</c:v>
                </c:pt>
                <c:pt idx="165">
                  <c:v>67576088.681272283</c:v>
                </c:pt>
                <c:pt idx="166">
                  <c:v>74333697.549399525</c:v>
                </c:pt>
                <c:pt idx="167">
                  <c:v>81767067.304339483</c:v>
                </c:pt>
                <c:pt idx="168">
                  <c:v>89943774.034773439</c:v>
                </c:pt>
                <c:pt idx="169">
                  <c:v>98938151.438250795</c:v>
                </c:pt>
                <c:pt idx="170">
                  <c:v>108831966.58207588</c:v>
                </c:pt>
                <c:pt idx="171">
                  <c:v>119715163.24028347</c:v>
                </c:pt>
                <c:pt idx="172">
                  <c:v>131686679.56431183</c:v>
                </c:pt>
                <c:pt idx="173">
                  <c:v>144855347.52074301</c:v>
                </c:pt>
                <c:pt idx="174">
                  <c:v>159340882.27281731</c:v>
                </c:pt>
                <c:pt idx="175">
                  <c:v>175274970.50009906</c:v>
                </c:pt>
                <c:pt idx="176">
                  <c:v>192802467.550109</c:v>
                </c:pt>
                <c:pt idx="177">
                  <c:v>212082714.3051199</c:v>
                </c:pt>
                <c:pt idx="178">
                  <c:v>233290985.73563191</c:v>
                </c:pt>
                <c:pt idx="179">
                  <c:v>256620084.30919513</c:v>
                </c:pt>
                <c:pt idx="180">
                  <c:v>282282092.74011469</c:v>
                </c:pt>
                <c:pt idx="181">
                  <c:v>310510302.01412618</c:v>
                </c:pt>
                <c:pt idx="182">
                  <c:v>341561332.2155388</c:v>
                </c:pt>
                <c:pt idx="183">
                  <c:v>375717465.43709272</c:v>
                </c:pt>
                <c:pt idx="184">
                  <c:v>413289211.980802</c:v>
                </c:pt>
                <c:pt idx="185">
                  <c:v>454618133.17888224</c:v>
                </c:pt>
                <c:pt idx="186">
                  <c:v>500079946.4967705</c:v>
                </c:pt>
                <c:pt idx="187">
                  <c:v>550087941.14644754</c:v>
                </c:pt>
                <c:pt idx="188">
                  <c:v>605096735.26109231</c:v>
                </c:pt>
                <c:pt idx="189">
                  <c:v>665606408.78720164</c:v>
                </c:pt>
                <c:pt idx="190">
                  <c:v>732167049.66592181</c:v>
                </c:pt>
                <c:pt idx="191">
                  <c:v>805383754.632514</c:v>
                </c:pt>
                <c:pt idx="192">
                  <c:v>885922130.09576547</c:v>
                </c:pt>
                <c:pt idx="193">
                  <c:v>974514343.10534215</c:v>
                </c:pt>
                <c:pt idx="194">
                  <c:v>1071965777.4158765</c:v>
                </c:pt>
                <c:pt idx="195">
                  <c:v>1179162355.1574643</c:v>
                </c:pt>
                <c:pt idx="196">
                  <c:v>1297078590.6732109</c:v>
                </c:pt>
                <c:pt idx="197">
                  <c:v>1426786449.7405322</c:v>
                </c:pt>
                <c:pt idx="198">
                  <c:v>1569465094.7145855</c:v>
                </c:pt>
                <c:pt idx="199">
                  <c:v>1726411604.1860442</c:v>
                </c:pt>
                <c:pt idx="200">
                  <c:v>1899052764.6046488</c:v>
                </c:pt>
                <c:pt idx="201">
                  <c:v>2088958041.0651138</c:v>
                </c:pt>
                <c:pt idx="202">
                  <c:v>2297853845.1716251</c:v>
                </c:pt>
                <c:pt idx="203">
                  <c:v>2527639229.6887879</c:v>
                </c:pt>
                <c:pt idx="204">
                  <c:v>2780403152.6576672</c:v>
                </c:pt>
                <c:pt idx="205">
                  <c:v>3058443467.9234343</c:v>
                </c:pt>
                <c:pt idx="206">
                  <c:v>3364287814.7157779</c:v>
                </c:pt>
                <c:pt idx="207">
                  <c:v>3700716596.187356</c:v>
                </c:pt>
                <c:pt idx="208">
                  <c:v>4070788255.8060918</c:v>
                </c:pt>
                <c:pt idx="209">
                  <c:v>4477867081.3867016</c:v>
                </c:pt>
                <c:pt idx="210">
                  <c:v>4925653789.5253725</c:v>
                </c:pt>
                <c:pt idx="211">
                  <c:v>5418219168.47791</c:v>
                </c:pt>
                <c:pt idx="212">
                  <c:v>5960041085.3257017</c:v>
                </c:pt>
                <c:pt idx="213">
                  <c:v>6556045193.8582726</c:v>
                </c:pt>
                <c:pt idx="214">
                  <c:v>7211649713.2441006</c:v>
                </c:pt>
                <c:pt idx="215">
                  <c:v>7932814684.568511</c:v>
                </c:pt>
                <c:pt idx="216">
                  <c:v>8726096153.025362</c:v>
                </c:pt>
                <c:pt idx="217">
                  <c:v>9598705768.3278999</c:v>
                </c:pt>
                <c:pt idx="218">
                  <c:v>10558576345.16069</c:v>
                </c:pt>
              </c:numCache>
            </c:numRef>
          </c:xVal>
          <c:yVal>
            <c:numRef>
              <c:f>Shielding!$C$50:$C$268</c:f>
              <c:numCache>
                <c:formatCode>0</c:formatCode>
                <c:ptCount val="219"/>
                <c:pt idx="0">
                  <c:v>165.35713981246784</c:v>
                </c:pt>
                <c:pt idx="1">
                  <c:v>164.94321296088557</c:v>
                </c:pt>
                <c:pt idx="2">
                  <c:v>164.52928610930331</c:v>
                </c:pt>
                <c:pt idx="3">
                  <c:v>164.11535925772108</c:v>
                </c:pt>
                <c:pt idx="4">
                  <c:v>163.70143240613885</c:v>
                </c:pt>
                <c:pt idx="5">
                  <c:v>163.28750555455659</c:v>
                </c:pt>
                <c:pt idx="6">
                  <c:v>162.87357870297433</c:v>
                </c:pt>
                <c:pt idx="7">
                  <c:v>162.4596518513921</c:v>
                </c:pt>
                <c:pt idx="8">
                  <c:v>162.04572499980983</c:v>
                </c:pt>
                <c:pt idx="9">
                  <c:v>161.63179814822757</c:v>
                </c:pt>
                <c:pt idx="10">
                  <c:v>161.21787129664534</c:v>
                </c:pt>
                <c:pt idx="11">
                  <c:v>160.80394444506308</c:v>
                </c:pt>
                <c:pt idx="12">
                  <c:v>160.39001759348082</c:v>
                </c:pt>
                <c:pt idx="13">
                  <c:v>159.97609074189856</c:v>
                </c:pt>
                <c:pt idx="14">
                  <c:v>159.56216389031633</c:v>
                </c:pt>
                <c:pt idx="15">
                  <c:v>159.14823703873407</c:v>
                </c:pt>
                <c:pt idx="16">
                  <c:v>158.73431018715183</c:v>
                </c:pt>
                <c:pt idx="17">
                  <c:v>158.32038333556957</c:v>
                </c:pt>
                <c:pt idx="18">
                  <c:v>157.90645648398731</c:v>
                </c:pt>
                <c:pt idx="19">
                  <c:v>157.49252963240505</c:v>
                </c:pt>
                <c:pt idx="20">
                  <c:v>157.07860278082282</c:v>
                </c:pt>
                <c:pt idx="21">
                  <c:v>156.66467592924056</c:v>
                </c:pt>
                <c:pt idx="22">
                  <c:v>156.25074907765833</c:v>
                </c:pt>
                <c:pt idx="23">
                  <c:v>155.83682222607607</c:v>
                </c:pt>
                <c:pt idx="24">
                  <c:v>155.42289537449381</c:v>
                </c:pt>
                <c:pt idx="25">
                  <c:v>155.00896852291157</c:v>
                </c:pt>
                <c:pt idx="26">
                  <c:v>154.59504167132931</c:v>
                </c:pt>
                <c:pt idx="27">
                  <c:v>154.18111481974708</c:v>
                </c:pt>
                <c:pt idx="28">
                  <c:v>153.76718796816482</c:v>
                </c:pt>
                <c:pt idx="29">
                  <c:v>153.35326111658256</c:v>
                </c:pt>
                <c:pt idx="30">
                  <c:v>152.9393342650003</c:v>
                </c:pt>
                <c:pt idx="31">
                  <c:v>152.52540741341807</c:v>
                </c:pt>
                <c:pt idx="32">
                  <c:v>152.1114805618358</c:v>
                </c:pt>
                <c:pt idx="33">
                  <c:v>151.69755371025357</c:v>
                </c:pt>
                <c:pt idx="34">
                  <c:v>151.28362685867131</c:v>
                </c:pt>
                <c:pt idx="35">
                  <c:v>150.86970000708905</c:v>
                </c:pt>
                <c:pt idx="36">
                  <c:v>150.45577315550679</c:v>
                </c:pt>
                <c:pt idx="37">
                  <c:v>150.04184630392456</c:v>
                </c:pt>
                <c:pt idx="38">
                  <c:v>149.6279194523423</c:v>
                </c:pt>
                <c:pt idx="39">
                  <c:v>149.21399260076006</c:v>
                </c:pt>
                <c:pt idx="40">
                  <c:v>148.8000657491778</c:v>
                </c:pt>
                <c:pt idx="41">
                  <c:v>148.38613889759554</c:v>
                </c:pt>
                <c:pt idx="42">
                  <c:v>147.97221204601331</c:v>
                </c:pt>
                <c:pt idx="43">
                  <c:v>147.55828519443105</c:v>
                </c:pt>
                <c:pt idx="44">
                  <c:v>147.14435834284879</c:v>
                </c:pt>
                <c:pt idx="45">
                  <c:v>146.73043149126656</c:v>
                </c:pt>
                <c:pt idx="46">
                  <c:v>146.3165046396843</c:v>
                </c:pt>
                <c:pt idx="47">
                  <c:v>145.90257778810206</c:v>
                </c:pt>
                <c:pt idx="48">
                  <c:v>145.4886509365198</c:v>
                </c:pt>
                <c:pt idx="49">
                  <c:v>145.07472408493754</c:v>
                </c:pt>
                <c:pt idx="50">
                  <c:v>144.66079723335528</c:v>
                </c:pt>
                <c:pt idx="51">
                  <c:v>144.24687038177305</c:v>
                </c:pt>
                <c:pt idx="52">
                  <c:v>143.83294353019079</c:v>
                </c:pt>
                <c:pt idx="53">
                  <c:v>143.41901667860856</c:v>
                </c:pt>
                <c:pt idx="54">
                  <c:v>143.0050898270263</c:v>
                </c:pt>
                <c:pt idx="55">
                  <c:v>142.59116297544404</c:v>
                </c:pt>
                <c:pt idx="56">
                  <c:v>142.17723612386177</c:v>
                </c:pt>
                <c:pt idx="57">
                  <c:v>141.76330927227954</c:v>
                </c:pt>
                <c:pt idx="58">
                  <c:v>141.34938242069728</c:v>
                </c:pt>
                <c:pt idx="59">
                  <c:v>140.93545556911505</c:v>
                </c:pt>
                <c:pt idx="60">
                  <c:v>140.52152871753279</c:v>
                </c:pt>
                <c:pt idx="61">
                  <c:v>140.10760186595053</c:v>
                </c:pt>
                <c:pt idx="62">
                  <c:v>139.6936750143683</c:v>
                </c:pt>
                <c:pt idx="63">
                  <c:v>139.27974816278603</c:v>
                </c:pt>
                <c:pt idx="64">
                  <c:v>138.8658213112038</c:v>
                </c:pt>
                <c:pt idx="65">
                  <c:v>138.45189445962154</c:v>
                </c:pt>
                <c:pt idx="66">
                  <c:v>138.03796760803928</c:v>
                </c:pt>
                <c:pt idx="67">
                  <c:v>137.62404075645702</c:v>
                </c:pt>
                <c:pt idx="68">
                  <c:v>137.21011390487479</c:v>
                </c:pt>
                <c:pt idx="69">
                  <c:v>136.79618705329253</c:v>
                </c:pt>
                <c:pt idx="70">
                  <c:v>136.3822602017103</c:v>
                </c:pt>
                <c:pt idx="71">
                  <c:v>135.96833335012803</c:v>
                </c:pt>
                <c:pt idx="72">
                  <c:v>135.55440649854577</c:v>
                </c:pt>
                <c:pt idx="73">
                  <c:v>135.14047964696351</c:v>
                </c:pt>
                <c:pt idx="74">
                  <c:v>134.72655279538128</c:v>
                </c:pt>
                <c:pt idx="75">
                  <c:v>134.31262594379902</c:v>
                </c:pt>
                <c:pt idx="76">
                  <c:v>133.89869909221679</c:v>
                </c:pt>
                <c:pt idx="77">
                  <c:v>133.48477224063453</c:v>
                </c:pt>
                <c:pt idx="78">
                  <c:v>133.07084538905227</c:v>
                </c:pt>
                <c:pt idx="79">
                  <c:v>132.65691853747003</c:v>
                </c:pt>
                <c:pt idx="80">
                  <c:v>132.24299168588777</c:v>
                </c:pt>
                <c:pt idx="81">
                  <c:v>131.82906483430551</c:v>
                </c:pt>
                <c:pt idx="82">
                  <c:v>131.41513798272328</c:v>
                </c:pt>
                <c:pt idx="83">
                  <c:v>131.00121113114102</c:v>
                </c:pt>
                <c:pt idx="84">
                  <c:v>130.58728427955879</c:v>
                </c:pt>
                <c:pt idx="85">
                  <c:v>130.17335742797653</c:v>
                </c:pt>
                <c:pt idx="86">
                  <c:v>129.75943057639427</c:v>
                </c:pt>
                <c:pt idx="87">
                  <c:v>129.345503724812</c:v>
                </c:pt>
                <c:pt idx="88">
                  <c:v>128.93157687322977</c:v>
                </c:pt>
                <c:pt idx="89">
                  <c:v>128.51765002164751</c:v>
                </c:pt>
                <c:pt idx="90">
                  <c:v>128.10372317006528</c:v>
                </c:pt>
                <c:pt idx="91">
                  <c:v>127.68979631848302</c:v>
                </c:pt>
                <c:pt idx="92">
                  <c:v>127.27586946690076</c:v>
                </c:pt>
                <c:pt idx="93">
                  <c:v>126.86194261531851</c:v>
                </c:pt>
                <c:pt idx="94">
                  <c:v>126.44801576373627</c:v>
                </c:pt>
                <c:pt idx="95">
                  <c:v>126.03408891215402</c:v>
                </c:pt>
                <c:pt idx="96">
                  <c:v>125.62016206057177</c:v>
                </c:pt>
                <c:pt idx="97">
                  <c:v>125.20623520898951</c:v>
                </c:pt>
                <c:pt idx="98">
                  <c:v>124.79230835740725</c:v>
                </c:pt>
                <c:pt idx="99">
                  <c:v>124.378381505825</c:v>
                </c:pt>
                <c:pt idx="100">
                  <c:v>123.96445465424277</c:v>
                </c:pt>
                <c:pt idx="101">
                  <c:v>123.55052780266051</c:v>
                </c:pt>
                <c:pt idx="102">
                  <c:v>123.13660095107826</c:v>
                </c:pt>
                <c:pt idx="103">
                  <c:v>122.722674099496</c:v>
                </c:pt>
                <c:pt idx="104">
                  <c:v>122.30874724791376</c:v>
                </c:pt>
                <c:pt idx="105">
                  <c:v>121.8948203963315</c:v>
                </c:pt>
                <c:pt idx="106">
                  <c:v>121.48089354474925</c:v>
                </c:pt>
                <c:pt idx="107">
                  <c:v>121.06696669316702</c:v>
                </c:pt>
                <c:pt idx="108">
                  <c:v>120.65303984158476</c:v>
                </c:pt>
                <c:pt idx="109">
                  <c:v>120.2391129900025</c:v>
                </c:pt>
                <c:pt idx="110">
                  <c:v>119.82518613842025</c:v>
                </c:pt>
                <c:pt idx="111">
                  <c:v>119.411259286838</c:v>
                </c:pt>
                <c:pt idx="112">
                  <c:v>118.99733243525574</c:v>
                </c:pt>
                <c:pt idx="113">
                  <c:v>118.58340558367351</c:v>
                </c:pt>
                <c:pt idx="114">
                  <c:v>118.16947873209125</c:v>
                </c:pt>
                <c:pt idx="115">
                  <c:v>117.755551880509</c:v>
                </c:pt>
                <c:pt idx="116">
                  <c:v>117.34162502892674</c:v>
                </c:pt>
                <c:pt idx="117">
                  <c:v>116.9276981773445</c:v>
                </c:pt>
                <c:pt idx="118">
                  <c:v>116.51377132576224</c:v>
                </c:pt>
                <c:pt idx="119">
                  <c:v>116.09984447417999</c:v>
                </c:pt>
                <c:pt idx="120">
                  <c:v>115.68591762259774</c:v>
                </c:pt>
                <c:pt idx="121">
                  <c:v>115.2719907710155</c:v>
                </c:pt>
                <c:pt idx="122">
                  <c:v>114.85806391943325</c:v>
                </c:pt>
                <c:pt idx="123">
                  <c:v>114.44413706785099</c:v>
                </c:pt>
                <c:pt idx="124">
                  <c:v>114.03021021626873</c:v>
                </c:pt>
                <c:pt idx="125">
                  <c:v>113.61628336468648</c:v>
                </c:pt>
                <c:pt idx="126">
                  <c:v>113.20235651310425</c:v>
                </c:pt>
                <c:pt idx="127">
                  <c:v>112.78842966152199</c:v>
                </c:pt>
                <c:pt idx="128">
                  <c:v>112.37450280993974</c:v>
                </c:pt>
                <c:pt idx="129">
                  <c:v>111.96057595835748</c:v>
                </c:pt>
                <c:pt idx="130">
                  <c:v>111.54664910677523</c:v>
                </c:pt>
                <c:pt idx="131">
                  <c:v>111.13272225519297</c:v>
                </c:pt>
                <c:pt idx="132">
                  <c:v>110.71879540361074</c:v>
                </c:pt>
                <c:pt idx="133">
                  <c:v>110.30486855202849</c:v>
                </c:pt>
                <c:pt idx="134">
                  <c:v>109.89094170044623</c:v>
                </c:pt>
                <c:pt idx="135">
                  <c:v>109.47701484886397</c:v>
                </c:pt>
                <c:pt idx="136">
                  <c:v>109.06308799728173</c:v>
                </c:pt>
                <c:pt idx="137">
                  <c:v>108.64916114569949</c:v>
                </c:pt>
                <c:pt idx="138">
                  <c:v>108.23523429411723</c:v>
                </c:pt>
                <c:pt idx="139">
                  <c:v>107.82130744253499</c:v>
                </c:pt>
                <c:pt idx="140">
                  <c:v>107.40738059095273</c:v>
                </c:pt>
                <c:pt idx="141">
                  <c:v>106.99345373937048</c:v>
                </c:pt>
                <c:pt idx="142">
                  <c:v>106.57952688778822</c:v>
                </c:pt>
                <c:pt idx="143">
                  <c:v>106.16560003620597</c:v>
                </c:pt>
                <c:pt idx="144">
                  <c:v>105.75167318462374</c:v>
                </c:pt>
                <c:pt idx="145">
                  <c:v>105.33774633304148</c:v>
                </c:pt>
                <c:pt idx="146">
                  <c:v>104.92381948145922</c:v>
                </c:pt>
                <c:pt idx="147">
                  <c:v>104.50989262987697</c:v>
                </c:pt>
                <c:pt idx="148">
                  <c:v>104.09596577829473</c:v>
                </c:pt>
                <c:pt idx="149">
                  <c:v>103.68203892671247</c:v>
                </c:pt>
                <c:pt idx="150">
                  <c:v>103.26811207513023</c:v>
                </c:pt>
                <c:pt idx="151">
                  <c:v>102.85418522354797</c:v>
                </c:pt>
                <c:pt idx="152">
                  <c:v>102.44025837196573</c:v>
                </c:pt>
                <c:pt idx="153">
                  <c:v>102.02633152038347</c:v>
                </c:pt>
                <c:pt idx="154">
                  <c:v>101.61240466880122</c:v>
                </c:pt>
                <c:pt idx="155">
                  <c:v>101.19847781721896</c:v>
                </c:pt>
                <c:pt idx="156">
                  <c:v>100.78455096563671</c:v>
                </c:pt>
                <c:pt idx="157">
                  <c:v>100.37062411405446</c:v>
                </c:pt>
                <c:pt idx="158">
                  <c:v>99.956697262472218</c:v>
                </c:pt>
                <c:pt idx="159">
                  <c:v>99.542770410889972</c:v>
                </c:pt>
                <c:pt idx="160">
                  <c:v>99.128843559307711</c:v>
                </c:pt>
                <c:pt idx="161">
                  <c:v>98.71491670772545</c:v>
                </c:pt>
                <c:pt idx="162">
                  <c:v>98.300989856143204</c:v>
                </c:pt>
                <c:pt idx="163">
                  <c:v>97.887063004560972</c:v>
                </c:pt>
                <c:pt idx="164">
                  <c:v>97.473136152978711</c:v>
                </c:pt>
                <c:pt idx="165">
                  <c:v>97.059209301396464</c:v>
                </c:pt>
                <c:pt idx="166">
                  <c:v>96.645282449814204</c:v>
                </c:pt>
                <c:pt idx="167">
                  <c:v>96.231355598231957</c:v>
                </c:pt>
                <c:pt idx="168">
                  <c:v>95.817428746649696</c:v>
                </c:pt>
                <c:pt idx="169">
                  <c:v>95.40350189506745</c:v>
                </c:pt>
                <c:pt idx="170">
                  <c:v>94.989575043485218</c:v>
                </c:pt>
                <c:pt idx="171">
                  <c:v>94.575648191902957</c:v>
                </c:pt>
                <c:pt idx="172">
                  <c:v>94.161721340320696</c:v>
                </c:pt>
                <c:pt idx="173">
                  <c:v>93.74779448873845</c:v>
                </c:pt>
                <c:pt idx="174">
                  <c:v>93.333867637156203</c:v>
                </c:pt>
                <c:pt idx="175">
                  <c:v>92.919940785573957</c:v>
                </c:pt>
                <c:pt idx="176">
                  <c:v>92.50601393399171</c:v>
                </c:pt>
                <c:pt idx="177">
                  <c:v>92.092087082409449</c:v>
                </c:pt>
                <c:pt idx="178">
                  <c:v>91.678160230827203</c:v>
                </c:pt>
                <c:pt idx="179">
                  <c:v>91.264233379244942</c:v>
                </c:pt>
                <c:pt idx="180">
                  <c:v>90.850306527662696</c:v>
                </c:pt>
                <c:pt idx="181">
                  <c:v>90.436379676080435</c:v>
                </c:pt>
                <c:pt idx="182">
                  <c:v>90.022452824498203</c:v>
                </c:pt>
                <c:pt idx="183">
                  <c:v>89.608525972915942</c:v>
                </c:pt>
                <c:pt idx="184">
                  <c:v>89.194599121333695</c:v>
                </c:pt>
                <c:pt idx="185">
                  <c:v>88.780672269751449</c:v>
                </c:pt>
                <c:pt idx="186">
                  <c:v>88.366745418169188</c:v>
                </c:pt>
                <c:pt idx="187">
                  <c:v>87.952818566586927</c:v>
                </c:pt>
                <c:pt idx="188">
                  <c:v>87.538891715004695</c:v>
                </c:pt>
                <c:pt idx="189">
                  <c:v>87.124964863422449</c:v>
                </c:pt>
                <c:pt idx="190">
                  <c:v>86.711038011840188</c:v>
                </c:pt>
                <c:pt idx="191">
                  <c:v>86.297111160257941</c:v>
                </c:pt>
                <c:pt idx="192">
                  <c:v>85.883184308675681</c:v>
                </c:pt>
                <c:pt idx="193">
                  <c:v>85.469257457093434</c:v>
                </c:pt>
                <c:pt idx="194">
                  <c:v>85.055330605511188</c:v>
                </c:pt>
                <c:pt idx="195">
                  <c:v>84.641403753928941</c:v>
                </c:pt>
                <c:pt idx="196">
                  <c:v>84.227476902346694</c:v>
                </c:pt>
                <c:pt idx="197">
                  <c:v>83.813550050764434</c:v>
                </c:pt>
                <c:pt idx="198">
                  <c:v>83.399623199182173</c:v>
                </c:pt>
                <c:pt idx="199">
                  <c:v>82.985696347599927</c:v>
                </c:pt>
                <c:pt idx="200">
                  <c:v>82.571769496017694</c:v>
                </c:pt>
                <c:pt idx="201">
                  <c:v>82.157842644435433</c:v>
                </c:pt>
                <c:pt idx="202">
                  <c:v>81.743915792853187</c:v>
                </c:pt>
                <c:pt idx="203">
                  <c:v>81.329988941270926</c:v>
                </c:pt>
                <c:pt idx="204">
                  <c:v>80.91606208968868</c:v>
                </c:pt>
                <c:pt idx="205">
                  <c:v>80.502135238106419</c:v>
                </c:pt>
                <c:pt idx="206">
                  <c:v>80.088208386524187</c:v>
                </c:pt>
                <c:pt idx="207">
                  <c:v>79.674281534941926</c:v>
                </c:pt>
                <c:pt idx="208">
                  <c:v>79.260354683359679</c:v>
                </c:pt>
                <c:pt idx="209">
                  <c:v>78.846427831777419</c:v>
                </c:pt>
                <c:pt idx="210">
                  <c:v>78.432500980195172</c:v>
                </c:pt>
                <c:pt idx="211">
                  <c:v>78.018574128612926</c:v>
                </c:pt>
                <c:pt idx="212">
                  <c:v>77.604647277030679</c:v>
                </c:pt>
                <c:pt idx="213">
                  <c:v>77.190720425448418</c:v>
                </c:pt>
                <c:pt idx="214">
                  <c:v>76.776793573866172</c:v>
                </c:pt>
                <c:pt idx="215">
                  <c:v>76.362866722283925</c:v>
                </c:pt>
                <c:pt idx="216">
                  <c:v>75.948939870701665</c:v>
                </c:pt>
                <c:pt idx="217">
                  <c:v>75.535013019119418</c:v>
                </c:pt>
                <c:pt idx="218">
                  <c:v>75.121086167537172</c:v>
                </c:pt>
              </c:numCache>
            </c:numRef>
          </c:yVal>
          <c:smooth val="1"/>
          <c:extLst>
            <c:ext xmlns:c16="http://schemas.microsoft.com/office/drawing/2014/chart" uri="{C3380CC4-5D6E-409C-BE32-E72D297353CC}">
              <c16:uniqueId val="{00000000-74B4-4EBC-BEA6-4616C73D3315}"/>
            </c:ext>
          </c:extLst>
        </c:ser>
        <c:ser>
          <c:idx val="1"/>
          <c:order val="1"/>
          <c:tx>
            <c:v>Absorption loss A</c:v>
          </c:tx>
          <c:spPr>
            <a:ln w="28575" cap="rnd">
              <a:solidFill>
                <a:srgbClr val="767171"/>
              </a:solidFill>
              <a:prstDash val="dash"/>
              <a:round/>
            </a:ln>
            <a:effectLst/>
          </c:spPr>
          <c:marker>
            <c:symbol val="none"/>
          </c:marker>
          <c:xVal>
            <c:numRef>
              <c:f>Shielding!$A$50:$A$268</c:f>
              <c:numCache>
                <c:formatCode>0.00E+00</c:formatCode>
                <c:ptCount val="219"/>
                <c:pt idx="0">
                  <c:v>10</c:v>
                </c:pt>
                <c:pt idx="1">
                  <c:v>11</c:v>
                </c:pt>
                <c:pt idx="2">
                  <c:v>12.100000000000001</c:v>
                </c:pt>
                <c:pt idx="3">
                  <c:v>13.310000000000002</c:v>
                </c:pt>
                <c:pt idx="4">
                  <c:v>14.641000000000004</c:v>
                </c:pt>
                <c:pt idx="5">
                  <c:v>16.105100000000004</c:v>
                </c:pt>
                <c:pt idx="6">
                  <c:v>17.715610000000005</c:v>
                </c:pt>
                <c:pt idx="7">
                  <c:v>19.487171000000007</c:v>
                </c:pt>
                <c:pt idx="8">
                  <c:v>21.43588810000001</c:v>
                </c:pt>
                <c:pt idx="9">
                  <c:v>23.579476910000015</c:v>
                </c:pt>
                <c:pt idx="10">
                  <c:v>25.937424601000018</c:v>
                </c:pt>
                <c:pt idx="11">
                  <c:v>28.531167061100021</c:v>
                </c:pt>
                <c:pt idx="12">
                  <c:v>31.384283767210025</c:v>
                </c:pt>
                <c:pt idx="13">
                  <c:v>34.522712143931031</c:v>
                </c:pt>
                <c:pt idx="14">
                  <c:v>37.974983358324138</c:v>
                </c:pt>
                <c:pt idx="15">
                  <c:v>41.772481694156554</c:v>
                </c:pt>
                <c:pt idx="16">
                  <c:v>45.949729863572216</c:v>
                </c:pt>
                <c:pt idx="17">
                  <c:v>50.544702849929443</c:v>
                </c:pt>
                <c:pt idx="18">
                  <c:v>55.599173134922395</c:v>
                </c:pt>
                <c:pt idx="19">
                  <c:v>61.159090448414638</c:v>
                </c:pt>
                <c:pt idx="20">
                  <c:v>67.274999493256104</c:v>
                </c:pt>
                <c:pt idx="21">
                  <c:v>74.002499442581723</c:v>
                </c:pt>
                <c:pt idx="22">
                  <c:v>81.402749386839901</c:v>
                </c:pt>
                <c:pt idx="23">
                  <c:v>89.543024325523902</c:v>
                </c:pt>
                <c:pt idx="24">
                  <c:v>98.497326758076298</c:v>
                </c:pt>
                <c:pt idx="25">
                  <c:v>108.34705943388394</c:v>
                </c:pt>
                <c:pt idx="26">
                  <c:v>119.18176537727234</c:v>
                </c:pt>
                <c:pt idx="27">
                  <c:v>131.09994191499959</c:v>
                </c:pt>
                <c:pt idx="28">
                  <c:v>144.20993610649955</c:v>
                </c:pt>
                <c:pt idx="29">
                  <c:v>158.63092971714951</c:v>
                </c:pt>
                <c:pt idx="30">
                  <c:v>174.49402268886448</c:v>
                </c:pt>
                <c:pt idx="31">
                  <c:v>191.94342495775095</c:v>
                </c:pt>
                <c:pt idx="32">
                  <c:v>211.13776745352607</c:v>
                </c:pt>
                <c:pt idx="33">
                  <c:v>232.25154419887869</c:v>
                </c:pt>
                <c:pt idx="34">
                  <c:v>255.47669861876659</c:v>
                </c:pt>
                <c:pt idx="35">
                  <c:v>281.02436848064326</c:v>
                </c:pt>
                <c:pt idx="36">
                  <c:v>309.12680532870763</c:v>
                </c:pt>
                <c:pt idx="37">
                  <c:v>340.03948586157844</c:v>
                </c:pt>
                <c:pt idx="38">
                  <c:v>374.04343444773633</c:v>
                </c:pt>
                <c:pt idx="39">
                  <c:v>411.44777789250998</c:v>
                </c:pt>
                <c:pt idx="40">
                  <c:v>452.59255568176098</c:v>
                </c:pt>
                <c:pt idx="41">
                  <c:v>497.8518112499371</c:v>
                </c:pt>
                <c:pt idx="42">
                  <c:v>547.63699237493086</c:v>
                </c:pt>
                <c:pt idx="43">
                  <c:v>602.400691612424</c:v>
                </c:pt>
                <c:pt idx="44">
                  <c:v>662.64076077366644</c:v>
                </c:pt>
                <c:pt idx="45">
                  <c:v>728.90483685103311</c:v>
                </c:pt>
                <c:pt idx="46">
                  <c:v>801.7953205361365</c:v>
                </c:pt>
                <c:pt idx="47">
                  <c:v>881.97485258975018</c:v>
                </c:pt>
                <c:pt idx="48">
                  <c:v>970.17233784872531</c:v>
                </c:pt>
                <c:pt idx="49">
                  <c:v>1067.189571633598</c:v>
                </c:pt>
                <c:pt idx="50">
                  <c:v>1173.9085287969579</c:v>
                </c:pt>
                <c:pt idx="51">
                  <c:v>1291.2993816766536</c:v>
                </c:pt>
                <c:pt idx="52">
                  <c:v>1420.429319844319</c:v>
                </c:pt>
                <c:pt idx="53">
                  <c:v>1562.472251828751</c:v>
                </c:pt>
                <c:pt idx="54">
                  <c:v>1718.7194770116264</c:v>
                </c:pt>
                <c:pt idx="55">
                  <c:v>1890.5914247127891</c:v>
                </c:pt>
                <c:pt idx="56">
                  <c:v>2079.6505671840682</c:v>
                </c:pt>
                <c:pt idx="57">
                  <c:v>2287.6156239024754</c:v>
                </c:pt>
                <c:pt idx="58">
                  <c:v>2516.3771862927233</c:v>
                </c:pt>
                <c:pt idx="59">
                  <c:v>2768.0149049219958</c:v>
                </c:pt>
                <c:pt idx="60">
                  <c:v>3044.8163954141955</c:v>
                </c:pt>
                <c:pt idx="61">
                  <c:v>3349.2980349556155</c:v>
                </c:pt>
                <c:pt idx="62">
                  <c:v>3684.2278384511774</c:v>
                </c:pt>
                <c:pt idx="63">
                  <c:v>4052.6506222962953</c:v>
                </c:pt>
                <c:pt idx="64">
                  <c:v>4457.9156845259249</c:v>
                </c:pt>
                <c:pt idx="65">
                  <c:v>4903.7072529785182</c:v>
                </c:pt>
                <c:pt idx="66">
                  <c:v>5394.0779782763702</c:v>
                </c:pt>
                <c:pt idx="67">
                  <c:v>5933.4857761040075</c:v>
                </c:pt>
                <c:pt idx="68">
                  <c:v>6526.8343537144092</c:v>
                </c:pt>
                <c:pt idx="69">
                  <c:v>7179.5177890858504</c:v>
                </c:pt>
                <c:pt idx="70">
                  <c:v>7897.4695679944361</c:v>
                </c:pt>
                <c:pt idx="71">
                  <c:v>8687.216524793881</c:v>
                </c:pt>
                <c:pt idx="72">
                  <c:v>9555.9381772732704</c:v>
                </c:pt>
                <c:pt idx="73">
                  <c:v>10511.531995000598</c:v>
                </c:pt>
                <c:pt idx="74">
                  <c:v>11562.685194500658</c:v>
                </c:pt>
                <c:pt idx="75">
                  <c:v>12718.953713950725</c:v>
                </c:pt>
                <c:pt idx="76">
                  <c:v>13990.849085345799</c:v>
                </c:pt>
                <c:pt idx="77">
                  <c:v>15389.933993880381</c:v>
                </c:pt>
                <c:pt idx="78">
                  <c:v>16928.927393268419</c:v>
                </c:pt>
                <c:pt idx="79">
                  <c:v>18621.820132595261</c:v>
                </c:pt>
                <c:pt idx="80">
                  <c:v>20484.002145854789</c:v>
                </c:pt>
                <c:pt idx="81">
                  <c:v>22532.402360440268</c:v>
                </c:pt>
                <c:pt idx="82">
                  <c:v>24785.642596484297</c:v>
                </c:pt>
                <c:pt idx="83">
                  <c:v>27264.206856132729</c:v>
                </c:pt>
                <c:pt idx="84">
                  <c:v>29990.627541746006</c:v>
                </c:pt>
                <c:pt idx="85">
                  <c:v>32989.690295920605</c:v>
                </c:pt>
                <c:pt idx="86">
                  <c:v>36288.659325512672</c:v>
                </c:pt>
                <c:pt idx="87">
                  <c:v>39917.525258063943</c:v>
                </c:pt>
                <c:pt idx="88">
                  <c:v>43909.27778387034</c:v>
                </c:pt>
                <c:pt idx="89">
                  <c:v>48300.205562257375</c:v>
                </c:pt>
                <c:pt idx="90">
                  <c:v>53130.226118483115</c:v>
                </c:pt>
                <c:pt idx="91">
                  <c:v>58443.248730331434</c:v>
                </c:pt>
                <c:pt idx="92">
                  <c:v>64287.573603364581</c:v>
                </c:pt>
                <c:pt idx="93">
                  <c:v>70716.330963701039</c:v>
                </c:pt>
                <c:pt idx="94">
                  <c:v>77787.964060071143</c:v>
                </c:pt>
                <c:pt idx="95">
                  <c:v>85566.760466078267</c:v>
                </c:pt>
                <c:pt idx="96">
                  <c:v>94123.436512686108</c:v>
                </c:pt>
                <c:pt idx="97">
                  <c:v>103535.78016395473</c:v>
                </c:pt>
                <c:pt idx="98">
                  <c:v>113889.3581803502</c:v>
                </c:pt>
                <c:pt idx="99">
                  <c:v>125278.29399838523</c:v>
                </c:pt>
                <c:pt idx="100">
                  <c:v>137806.12339822375</c:v>
                </c:pt>
                <c:pt idx="101">
                  <c:v>151586.73573804615</c:v>
                </c:pt>
                <c:pt idx="102">
                  <c:v>166745.40931185079</c:v>
                </c:pt>
                <c:pt idx="103">
                  <c:v>183419.95024303588</c:v>
                </c:pt>
                <c:pt idx="104">
                  <c:v>201761.9452673395</c:v>
                </c:pt>
                <c:pt idx="105">
                  <c:v>221938.13979407348</c:v>
                </c:pt>
                <c:pt idx="106">
                  <c:v>244131.95377348084</c:v>
                </c:pt>
                <c:pt idx="107">
                  <c:v>268545.14915082895</c:v>
                </c:pt>
                <c:pt idx="108">
                  <c:v>295399.66406591184</c:v>
                </c:pt>
                <c:pt idx="109">
                  <c:v>324939.63047250308</c:v>
                </c:pt>
                <c:pt idx="110">
                  <c:v>357433.59351975343</c:v>
                </c:pt>
                <c:pt idx="111">
                  <c:v>393176.9528717288</c:v>
                </c:pt>
                <c:pt idx="112">
                  <c:v>432494.64815890172</c:v>
                </c:pt>
                <c:pt idx="113">
                  <c:v>475744.1129747919</c:v>
                </c:pt>
                <c:pt idx="114">
                  <c:v>523318.52427227114</c:v>
                </c:pt>
                <c:pt idx="115">
                  <c:v>575650.37669949827</c:v>
                </c:pt>
                <c:pt idx="116">
                  <c:v>633215.4143694482</c:v>
                </c:pt>
                <c:pt idx="117">
                  <c:v>696536.95580639306</c:v>
                </c:pt>
                <c:pt idx="118">
                  <c:v>766190.65138703247</c:v>
                </c:pt>
                <c:pt idx="119">
                  <c:v>842809.7165257358</c:v>
                </c:pt>
                <c:pt idx="120">
                  <c:v>927090.68817830947</c:v>
                </c:pt>
                <c:pt idx="121">
                  <c:v>1019799.7569961405</c:v>
                </c:pt>
                <c:pt idx="122">
                  <c:v>1121779.7326957546</c:v>
                </c:pt>
                <c:pt idx="123">
                  <c:v>1233957.7059653301</c:v>
                </c:pt>
                <c:pt idx="124">
                  <c:v>1357353.4765618632</c:v>
                </c:pt>
                <c:pt idx="125">
                  <c:v>1493088.8242180496</c:v>
                </c:pt>
                <c:pt idx="126">
                  <c:v>1642397.7066398547</c:v>
                </c:pt>
                <c:pt idx="127">
                  <c:v>1806637.4773038402</c:v>
                </c:pt>
                <c:pt idx="128">
                  <c:v>1987301.2250342243</c:v>
                </c:pt>
                <c:pt idx="129">
                  <c:v>2186031.347537647</c:v>
                </c:pt>
                <c:pt idx="130">
                  <c:v>2404634.4822914121</c:v>
                </c:pt>
                <c:pt idx="131">
                  <c:v>2645097.9305205536</c:v>
                </c:pt>
                <c:pt idx="132">
                  <c:v>2909607.723572609</c:v>
                </c:pt>
                <c:pt idx="133">
                  <c:v>3200568.4959298703</c:v>
                </c:pt>
                <c:pt idx="134">
                  <c:v>3520625.3455228577</c:v>
                </c:pt>
                <c:pt idx="135">
                  <c:v>3872687.8800751437</c:v>
                </c:pt>
                <c:pt idx="136">
                  <c:v>4259956.6680826582</c:v>
                </c:pt>
                <c:pt idx="137">
                  <c:v>4685952.3348909244</c:v>
                </c:pt>
                <c:pt idx="138">
                  <c:v>5154547.5683800168</c:v>
                </c:pt>
                <c:pt idx="139">
                  <c:v>5670002.3252180191</c:v>
                </c:pt>
                <c:pt idx="140">
                  <c:v>6237002.5577398213</c:v>
                </c:pt>
                <c:pt idx="141">
                  <c:v>6860702.8135138042</c:v>
                </c:pt>
                <c:pt idx="142">
                  <c:v>7546773.0948651852</c:v>
                </c:pt>
                <c:pt idx="143">
                  <c:v>8301450.4043517048</c:v>
                </c:pt>
                <c:pt idx="144">
                  <c:v>9131595.4447868764</c:v>
                </c:pt>
                <c:pt idx="145">
                  <c:v>10044754.989265565</c:v>
                </c:pt>
                <c:pt idx="146">
                  <c:v>11049230.488192122</c:v>
                </c:pt>
                <c:pt idx="147">
                  <c:v>12154153.537011337</c:v>
                </c:pt>
                <c:pt idx="148">
                  <c:v>13369568.890712472</c:v>
                </c:pt>
                <c:pt idx="149">
                  <c:v>14706525.77978372</c:v>
                </c:pt>
                <c:pt idx="150">
                  <c:v>16177178.357762093</c:v>
                </c:pt>
                <c:pt idx="151">
                  <c:v>17794896.193538304</c:v>
                </c:pt>
                <c:pt idx="152">
                  <c:v>19574385.812892135</c:v>
                </c:pt>
                <c:pt idx="153">
                  <c:v>21531824.394181352</c:v>
                </c:pt>
                <c:pt idx="154">
                  <c:v>23685006.833599489</c:v>
                </c:pt>
                <c:pt idx="155">
                  <c:v>26053507.51695944</c:v>
                </c:pt>
                <c:pt idx="156">
                  <c:v>28658858.268655386</c:v>
                </c:pt>
                <c:pt idx="157">
                  <c:v>31524744.095520929</c:v>
                </c:pt>
                <c:pt idx="158">
                  <c:v>34677218.505073026</c:v>
                </c:pt>
                <c:pt idx="159">
                  <c:v>38144940.35558033</c:v>
                </c:pt>
                <c:pt idx="160">
                  <c:v>41959434.391138367</c:v>
                </c:pt>
                <c:pt idx="161">
                  <c:v>46155377.830252208</c:v>
                </c:pt>
                <c:pt idx="162">
                  <c:v>50770915.613277435</c:v>
                </c:pt>
                <c:pt idx="163">
                  <c:v>55848007.174605183</c:v>
                </c:pt>
                <c:pt idx="164">
                  <c:v>61432807.892065704</c:v>
                </c:pt>
                <c:pt idx="165">
                  <c:v>67576088.681272283</c:v>
                </c:pt>
                <c:pt idx="166">
                  <c:v>74333697.549399525</c:v>
                </c:pt>
                <c:pt idx="167">
                  <c:v>81767067.304339483</c:v>
                </c:pt>
                <c:pt idx="168">
                  <c:v>89943774.034773439</c:v>
                </c:pt>
                <c:pt idx="169">
                  <c:v>98938151.438250795</c:v>
                </c:pt>
                <c:pt idx="170">
                  <c:v>108831966.58207588</c:v>
                </c:pt>
                <c:pt idx="171">
                  <c:v>119715163.24028347</c:v>
                </c:pt>
                <c:pt idx="172">
                  <c:v>131686679.56431183</c:v>
                </c:pt>
                <c:pt idx="173">
                  <c:v>144855347.52074301</c:v>
                </c:pt>
                <c:pt idx="174">
                  <c:v>159340882.27281731</c:v>
                </c:pt>
                <c:pt idx="175">
                  <c:v>175274970.50009906</c:v>
                </c:pt>
                <c:pt idx="176">
                  <c:v>192802467.550109</c:v>
                </c:pt>
                <c:pt idx="177">
                  <c:v>212082714.3051199</c:v>
                </c:pt>
                <c:pt idx="178">
                  <c:v>233290985.73563191</c:v>
                </c:pt>
                <c:pt idx="179">
                  <c:v>256620084.30919513</c:v>
                </c:pt>
                <c:pt idx="180">
                  <c:v>282282092.74011469</c:v>
                </c:pt>
                <c:pt idx="181">
                  <c:v>310510302.01412618</c:v>
                </c:pt>
                <c:pt idx="182">
                  <c:v>341561332.2155388</c:v>
                </c:pt>
                <c:pt idx="183">
                  <c:v>375717465.43709272</c:v>
                </c:pt>
                <c:pt idx="184">
                  <c:v>413289211.980802</c:v>
                </c:pt>
                <c:pt idx="185">
                  <c:v>454618133.17888224</c:v>
                </c:pt>
                <c:pt idx="186">
                  <c:v>500079946.4967705</c:v>
                </c:pt>
                <c:pt idx="187">
                  <c:v>550087941.14644754</c:v>
                </c:pt>
                <c:pt idx="188">
                  <c:v>605096735.26109231</c:v>
                </c:pt>
                <c:pt idx="189">
                  <c:v>665606408.78720164</c:v>
                </c:pt>
                <c:pt idx="190">
                  <c:v>732167049.66592181</c:v>
                </c:pt>
                <c:pt idx="191">
                  <c:v>805383754.632514</c:v>
                </c:pt>
                <c:pt idx="192">
                  <c:v>885922130.09576547</c:v>
                </c:pt>
                <c:pt idx="193">
                  <c:v>974514343.10534215</c:v>
                </c:pt>
                <c:pt idx="194">
                  <c:v>1071965777.4158765</c:v>
                </c:pt>
                <c:pt idx="195">
                  <c:v>1179162355.1574643</c:v>
                </c:pt>
                <c:pt idx="196">
                  <c:v>1297078590.6732109</c:v>
                </c:pt>
                <c:pt idx="197">
                  <c:v>1426786449.7405322</c:v>
                </c:pt>
                <c:pt idx="198">
                  <c:v>1569465094.7145855</c:v>
                </c:pt>
                <c:pt idx="199">
                  <c:v>1726411604.1860442</c:v>
                </c:pt>
                <c:pt idx="200">
                  <c:v>1899052764.6046488</c:v>
                </c:pt>
                <c:pt idx="201">
                  <c:v>2088958041.0651138</c:v>
                </c:pt>
                <c:pt idx="202">
                  <c:v>2297853845.1716251</c:v>
                </c:pt>
                <c:pt idx="203">
                  <c:v>2527639229.6887879</c:v>
                </c:pt>
                <c:pt idx="204">
                  <c:v>2780403152.6576672</c:v>
                </c:pt>
                <c:pt idx="205">
                  <c:v>3058443467.9234343</c:v>
                </c:pt>
                <c:pt idx="206">
                  <c:v>3364287814.7157779</c:v>
                </c:pt>
                <c:pt idx="207">
                  <c:v>3700716596.187356</c:v>
                </c:pt>
                <c:pt idx="208">
                  <c:v>4070788255.8060918</c:v>
                </c:pt>
                <c:pt idx="209">
                  <c:v>4477867081.3867016</c:v>
                </c:pt>
                <c:pt idx="210">
                  <c:v>4925653789.5253725</c:v>
                </c:pt>
                <c:pt idx="211">
                  <c:v>5418219168.47791</c:v>
                </c:pt>
                <c:pt idx="212">
                  <c:v>5960041085.3257017</c:v>
                </c:pt>
                <c:pt idx="213">
                  <c:v>6556045193.8582726</c:v>
                </c:pt>
                <c:pt idx="214">
                  <c:v>7211649713.2441006</c:v>
                </c:pt>
                <c:pt idx="215">
                  <c:v>7932814684.568511</c:v>
                </c:pt>
                <c:pt idx="216">
                  <c:v>8726096153.025362</c:v>
                </c:pt>
                <c:pt idx="217">
                  <c:v>9598705768.3278999</c:v>
                </c:pt>
                <c:pt idx="218">
                  <c:v>10558576345.16069</c:v>
                </c:pt>
              </c:numCache>
            </c:numRef>
          </c:xVal>
          <c:yVal>
            <c:numRef>
              <c:f>Shielding!$D$50:$D$268</c:f>
              <c:numCache>
                <c:formatCode>0</c:formatCode>
                <c:ptCount val="219"/>
                <c:pt idx="0">
                  <c:v>3.3785535154515413E-2</c:v>
                </c:pt>
                <c:pt idx="1">
                  <c:v>3.5434568210219473E-2</c:v>
                </c:pt>
                <c:pt idx="2">
                  <c:v>3.7164088669966955E-2</c:v>
                </c:pt>
                <c:pt idx="3">
                  <c:v>3.8978025031241426E-2</c:v>
                </c:pt>
                <c:pt idx="4">
                  <c:v>4.0880497536963656E-2</c:v>
                </c:pt>
                <c:pt idx="5">
                  <c:v>4.2875827534365571E-2</c:v>
                </c:pt>
                <c:pt idx="6">
                  <c:v>4.4968547290660028E-2</c:v>
                </c:pt>
                <c:pt idx="7">
                  <c:v>4.7163410287802132E-2</c:v>
                </c:pt>
                <c:pt idx="8">
                  <c:v>4.9465402019726025E-2</c:v>
                </c:pt>
                <c:pt idx="9">
                  <c:v>5.1879751316582352E-2</c:v>
                </c:pt>
                <c:pt idx="10">
                  <c:v>5.4411942221698643E-2</c:v>
                </c:pt>
                <c:pt idx="11">
                  <c:v>5.7067726448240597E-2</c:v>
                </c:pt>
                <c:pt idx="12">
                  <c:v>5.9853136443868506E-2</c:v>
                </c:pt>
                <c:pt idx="13">
                  <c:v>6.2774499093064651E-2</c:v>
                </c:pt>
                <c:pt idx="14">
                  <c:v>6.5838450088255368E-2</c:v>
                </c:pt>
                <c:pt idx="15">
                  <c:v>6.9051949002371119E-2</c:v>
                </c:pt>
                <c:pt idx="16">
                  <c:v>7.242229509708091E-2</c:v>
                </c:pt>
                <c:pt idx="17">
                  <c:v>7.5957143902608257E-2</c:v>
                </c:pt>
                <c:pt idx="18">
                  <c:v>7.9664524606789008E-2</c:v>
                </c:pt>
                <c:pt idx="19">
                  <c:v>8.355285829286907E-2</c:v>
                </c:pt>
                <c:pt idx="20">
                  <c:v>8.7630977067467933E-2</c:v>
                </c:pt>
                <c:pt idx="21">
                  <c:v>9.1908144122156005E-2</c:v>
                </c:pt>
                <c:pt idx="22">
                  <c:v>9.6394074774214716E-2</c:v>
                </c:pt>
                <c:pt idx="23">
                  <c:v>0.10109895853437159</c:v>
                </c:pt>
                <c:pt idx="24">
                  <c:v>0.1060334822516362</c:v>
                </c:pt>
                <c:pt idx="25">
                  <c:v>0.11120885438780878</c:v>
                </c:pt>
                <c:pt idx="26">
                  <c:v>0.11663683047679982</c:v>
                </c:pt>
                <c:pt idx="27">
                  <c:v>0.12232973982658966</c:v>
                </c:pt>
                <c:pt idx="28">
                  <c:v>0.12830051352447983</c:v>
                </c:pt>
                <c:pt idx="29">
                  <c:v>0.13456271380924864</c:v>
                </c:pt>
                <c:pt idx="30">
                  <c:v>0.14113056487692782</c:v>
                </c:pt>
                <c:pt idx="31">
                  <c:v>0.14801898519017354</c:v>
                </c:pt>
                <c:pt idx="32">
                  <c:v>0.15524362136462058</c:v>
                </c:pt>
                <c:pt idx="33">
                  <c:v>0.16282088370919084</c:v>
                </c:pt>
                <c:pt idx="34">
                  <c:v>0.17076798350108266</c:v>
                </c:pt>
                <c:pt idx="35">
                  <c:v>0.17910297208010997</c:v>
                </c:pt>
                <c:pt idx="36">
                  <c:v>0.18784478185119094</c:v>
                </c:pt>
                <c:pt idx="37">
                  <c:v>0.19701326928812102</c:v>
                </c:pt>
                <c:pt idx="38">
                  <c:v>0.20662926003631008</c:v>
                </c:pt>
                <c:pt idx="39">
                  <c:v>0.21671459621693315</c:v>
                </c:pt>
                <c:pt idx="40">
                  <c:v>0.22729218603994109</c:v>
                </c:pt>
                <c:pt idx="41">
                  <c:v>0.2383860558386264</c:v>
                </c:pt>
                <c:pt idx="42">
                  <c:v>0.25002140464393524</c:v>
                </c:pt>
                <c:pt idx="43">
                  <c:v>0.26222466142248912</c:v>
                </c:pt>
                <c:pt idx="44">
                  <c:v>0.27502354510832877</c:v>
                </c:pt>
                <c:pt idx="45">
                  <c:v>0.28844712756473806</c:v>
                </c:pt>
                <c:pt idx="46">
                  <c:v>0.30252589961916165</c:v>
                </c:pt>
                <c:pt idx="47">
                  <c:v>0.31729184032121183</c:v>
                </c:pt>
                <c:pt idx="48">
                  <c:v>0.33277848958107786</c:v>
                </c:pt>
                <c:pt idx="49">
                  <c:v>0.3490210243533331</c:v>
                </c:pt>
                <c:pt idx="50">
                  <c:v>0.36605633853918568</c:v>
                </c:pt>
                <c:pt idx="51">
                  <c:v>0.38392312678866636</c:v>
                </c:pt>
                <c:pt idx="52">
                  <c:v>0.40266197239310419</c:v>
                </c:pt>
                <c:pt idx="53">
                  <c:v>0.42231543946753308</c:v>
                </c:pt>
                <c:pt idx="54">
                  <c:v>0.44292816963241471</c:v>
                </c:pt>
                <c:pt idx="55">
                  <c:v>0.46454698341428641</c:v>
                </c:pt>
                <c:pt idx="56">
                  <c:v>0.48722098659565621</c:v>
                </c:pt>
                <c:pt idx="57">
                  <c:v>0.51100168175571503</c:v>
                </c:pt>
                <c:pt idx="58">
                  <c:v>0.53594308525522194</c:v>
                </c:pt>
                <c:pt idx="59">
                  <c:v>0.56210184993128676</c:v>
                </c:pt>
                <c:pt idx="60">
                  <c:v>0.5895373937807441</c:v>
                </c:pt>
                <c:pt idx="61">
                  <c:v>0.61831203492441544</c:v>
                </c:pt>
                <c:pt idx="62">
                  <c:v>0.64849113315881868</c:v>
                </c:pt>
                <c:pt idx="63">
                  <c:v>0.68014323841685698</c:v>
                </c:pt>
                <c:pt idx="64">
                  <c:v>0.71334024647470062</c:v>
                </c:pt>
                <c:pt idx="65">
                  <c:v>0.74815756225854269</c:v>
                </c:pt>
                <c:pt idx="66">
                  <c:v>0.7846742711221707</c:v>
                </c:pt>
                <c:pt idx="67">
                  <c:v>0.82297331848439703</c:v>
                </c:pt>
                <c:pt idx="68">
                  <c:v>0.8631416982343878</c:v>
                </c:pt>
                <c:pt idx="69">
                  <c:v>0.90527065033283682</c:v>
                </c:pt>
                <c:pt idx="70">
                  <c:v>0.94945586805782678</c:v>
                </c:pt>
                <c:pt idx="71">
                  <c:v>0.99579771536612061</c:v>
                </c:pt>
                <c:pt idx="72">
                  <c:v>1.0444014548636096</c:v>
                </c:pt>
                <c:pt idx="73">
                  <c:v>1.0953774869027328</c:v>
                </c:pt>
                <c:pt idx="74">
                  <c:v>1.1488416003499706</c:v>
                </c:pt>
                <c:pt idx="75">
                  <c:v>1.2049152355930062</c:v>
                </c:pt>
                <c:pt idx="76">
                  <c:v>1.2637257603849676</c:v>
                </c:pt>
                <c:pt idx="77">
                  <c:v>1.3254067591523069</c:v>
                </c:pt>
                <c:pt idx="78">
                  <c:v>1.3900983364234649</c:v>
                </c:pt>
                <c:pt idx="79">
                  <c:v>1.4579474350675377</c:v>
                </c:pt>
                <c:pt idx="80">
                  <c:v>1.5291081700658109</c:v>
                </c:pt>
                <c:pt idx="81">
                  <c:v>1.6037421785742914</c:v>
                </c:pt>
                <c:pt idx="82">
                  <c:v>1.6820189870723923</c:v>
                </c:pt>
                <c:pt idx="83">
                  <c:v>1.7641163964317206</c:v>
                </c:pt>
                <c:pt idx="84">
                  <c:v>1.8502208857796316</c:v>
                </c:pt>
                <c:pt idx="85">
                  <c:v>1.9405280360748929</c:v>
                </c:pt>
                <c:pt idx="86">
                  <c:v>2.0352429743575953</c:v>
                </c:pt>
                <c:pt idx="87">
                  <c:v>2.1345808396823824</c:v>
                </c:pt>
                <c:pt idx="88">
                  <c:v>2.2387672717933542</c:v>
                </c:pt>
                <c:pt idx="89">
                  <c:v>2.3480389236506212</c:v>
                </c:pt>
                <c:pt idx="90">
                  <c:v>2.4626439989726903</c:v>
                </c:pt>
                <c:pt idx="91">
                  <c:v>2.5828428160156833</c:v>
                </c:pt>
                <c:pt idx="92">
                  <c:v>2.7089083988699598</c:v>
                </c:pt>
                <c:pt idx="93">
                  <c:v>2.8411270976172514</c:v>
                </c:pt>
                <c:pt idx="94">
                  <c:v>2.9797992387569554</c:v>
                </c:pt>
                <c:pt idx="95">
                  <c:v>3.1252398073789771</c:v>
                </c:pt>
                <c:pt idx="96">
                  <c:v>3.2777791626326516</c:v>
                </c:pt>
                <c:pt idx="97">
                  <c:v>3.4377637881168752</c:v>
                </c:pt>
                <c:pt idx="98">
                  <c:v>3.605557078895917</c:v>
                </c:pt>
                <c:pt idx="99">
                  <c:v>3.7815401669285622</c:v>
                </c:pt>
                <c:pt idx="100">
                  <c:v>3.966112786785509</c:v>
                </c:pt>
                <c:pt idx="101">
                  <c:v>4.1596941836214194</c:v>
                </c:pt>
                <c:pt idx="102">
                  <c:v>4.36272406546406</c:v>
                </c:pt>
                <c:pt idx="103">
                  <c:v>4.5756636019835613</c:v>
                </c:pt>
                <c:pt idx="104">
                  <c:v>4.7989964720104661</c:v>
                </c:pt>
                <c:pt idx="105">
                  <c:v>5.0332299621819185</c:v>
                </c:pt>
                <c:pt idx="106">
                  <c:v>5.2788961192115131</c:v>
                </c:pt>
                <c:pt idx="107">
                  <c:v>5.5365529584001107</c:v>
                </c:pt>
                <c:pt idx="108">
                  <c:v>5.8067857311326643</c:v>
                </c:pt>
                <c:pt idx="109">
                  <c:v>6.0902082542401219</c:v>
                </c:pt>
                <c:pt idx="110">
                  <c:v>6.3874643042459329</c:v>
                </c:pt>
                <c:pt idx="111">
                  <c:v>6.6992290796641338</c:v>
                </c:pt>
                <c:pt idx="112">
                  <c:v>7.026210734670526</c:v>
                </c:pt>
                <c:pt idx="113">
                  <c:v>7.3691519876305485</c:v>
                </c:pt>
                <c:pt idx="114">
                  <c:v>7.7288318081375804</c:v>
                </c:pt>
                <c:pt idx="115">
                  <c:v>8.1060671863936058</c:v>
                </c:pt>
                <c:pt idx="116">
                  <c:v>8.5017149889513401</c:v>
                </c:pt>
                <c:pt idx="117">
                  <c:v>8.9166739050329671</c:v>
                </c:pt>
                <c:pt idx="118">
                  <c:v>9.3518864878464711</c:v>
                </c:pt>
                <c:pt idx="119">
                  <c:v>9.8083412955362643</c:v>
                </c:pt>
                <c:pt idx="120">
                  <c:v>10.287075136631122</c:v>
                </c:pt>
                <c:pt idx="121">
                  <c:v>10.789175425089891</c:v>
                </c:pt>
                <c:pt idx="122">
                  <c:v>11.315782650294235</c:v>
                </c:pt>
                <c:pt idx="123">
                  <c:v>11.86809296759888</c:v>
                </c:pt>
                <c:pt idx="124">
                  <c:v>12.447360915323658</c:v>
                </c:pt>
                <c:pt idx="125">
                  <c:v>13.05490226435877</c:v>
                </c:pt>
                <c:pt idx="126">
                  <c:v>13.692097006856024</c:v>
                </c:pt>
                <c:pt idx="127">
                  <c:v>14.360392490794647</c:v>
                </c:pt>
                <c:pt idx="128">
                  <c:v>15.061306707541627</c:v>
                </c:pt>
                <c:pt idx="129">
                  <c:v>15.796431739874114</c:v>
                </c:pt>
                <c:pt idx="130">
                  <c:v>16.567437378295793</c:v>
                </c:pt>
                <c:pt idx="131">
                  <c:v>17.376074913861526</c:v>
                </c:pt>
                <c:pt idx="132">
                  <c:v>18.224181116125372</c:v>
                </c:pt>
                <c:pt idx="133">
                  <c:v>19.11368240524768</c:v>
                </c:pt>
                <c:pt idx="134">
                  <c:v>20.046599227737914</c:v>
                </c:pt>
                <c:pt idx="135">
                  <c:v>21.025050645772453</c:v>
                </c:pt>
                <c:pt idx="136">
                  <c:v>22.051259150511708</c:v>
                </c:pt>
                <c:pt idx="137">
                  <c:v>23.127555710349696</c:v>
                </c:pt>
                <c:pt idx="138">
                  <c:v>24.256385065562878</c:v>
                </c:pt>
                <c:pt idx="139">
                  <c:v>25.44031128138467</c:v>
                </c:pt>
                <c:pt idx="140">
                  <c:v>26.682023572119171</c:v>
                </c:pt>
                <c:pt idx="141">
                  <c:v>27.984342409523141</c:v>
                </c:pt>
                <c:pt idx="142">
                  <c:v>29.350225929331085</c:v>
                </c:pt>
                <c:pt idx="143">
                  <c:v>30.782776650475455</c:v>
                </c:pt>
                <c:pt idx="144">
                  <c:v>32.285248522264197</c:v>
                </c:pt>
                <c:pt idx="145">
                  <c:v>33.861054315523006</c:v>
                </c:pt>
                <c:pt idx="146">
                  <c:v>35.513773374490619</c:v>
                </c:pt>
                <c:pt idx="147">
                  <c:v>37.247159747075308</c:v>
                </c:pt>
                <c:pt idx="148">
                  <c:v>39.065150711939687</c:v>
                </c:pt>
                <c:pt idx="149">
                  <c:v>40.971875721782844</c:v>
                </c:pt>
                <c:pt idx="150">
                  <c:v>42.971665783133659</c:v>
                </c:pt>
                <c:pt idx="151">
                  <c:v>45.069063293961136</c:v>
                </c:pt>
                <c:pt idx="152">
                  <c:v>47.268832361447032</c:v>
                </c:pt>
                <c:pt idx="153">
                  <c:v>49.575969623357253</c:v>
                </c:pt>
                <c:pt idx="154">
                  <c:v>51.995715597591747</c:v>
                </c:pt>
                <c:pt idx="155">
                  <c:v>54.533566585692974</c:v>
                </c:pt>
                <c:pt idx="156">
                  <c:v>57.195287157350919</c:v>
                </c:pt>
                <c:pt idx="157">
                  <c:v>59.986923244262279</c:v>
                </c:pt>
                <c:pt idx="158">
                  <c:v>62.91481587308602</c:v>
                </c:pt>
                <c:pt idx="159">
                  <c:v>65.985615568688516</c:v>
                </c:pt>
                <c:pt idx="160">
                  <c:v>69.206297460394637</c:v>
                </c:pt>
                <c:pt idx="161">
                  <c:v>72.584177125557389</c:v>
                </c:pt>
                <c:pt idx="162">
                  <c:v>76.12692720643409</c:v>
                </c:pt>
                <c:pt idx="163">
                  <c:v>79.842594838113129</c:v>
                </c:pt>
                <c:pt idx="164">
                  <c:v>83.739619927077513</c:v>
                </c:pt>
                <c:pt idx="165">
                  <c:v>87.826854321924444</c:v>
                </c:pt>
                <c:pt idx="166">
                  <c:v>92.113581919785275</c:v>
                </c:pt>
                <c:pt idx="167">
                  <c:v>96.609539754116895</c:v>
                </c:pt>
                <c:pt idx="168">
                  <c:v>101.32494011176379</c:v>
                </c:pt>
                <c:pt idx="169">
                  <c:v>106.27049372952858</c:v>
                </c:pt>
                <c:pt idx="170">
                  <c:v>111.4574341229402</c:v>
                </c:pt>
                <c:pt idx="171">
                  <c:v>116.89754310248146</c:v>
                </c:pt>
                <c:pt idx="172">
                  <c:v>122.60317753523425</c:v>
                </c:pt>
                <c:pt idx="173">
                  <c:v>128.58729741272961</c:v>
                </c:pt>
                <c:pt idx="174">
                  <c:v>134.86349528875766</c:v>
                </c:pt>
                <c:pt idx="175">
                  <c:v>141.44602715400256</c:v>
                </c:pt>
                <c:pt idx="176">
                  <c:v>148.34984481763345</c:v>
                </c:pt>
                <c:pt idx="177">
                  <c:v>155.59062986940282</c:v>
                </c:pt>
                <c:pt idx="178">
                  <c:v>163.1848292993968</c:v>
                </c:pt>
                <c:pt idx="179">
                  <c:v>171.14969285634314</c:v>
                </c:pt>
                <c:pt idx="180">
                  <c:v>179.5033122293365</c:v>
                </c:pt>
                <c:pt idx="181">
                  <c:v>188.26466214197748</c:v>
                </c:pt>
                <c:pt idx="182">
                  <c:v>197.45364345227017</c:v>
                </c:pt>
                <c:pt idx="183">
                  <c:v>207.09112835617523</c:v>
                </c:pt>
                <c:pt idx="184">
                  <c:v>217.19900779749719</c:v>
                </c:pt>
                <c:pt idx="185">
                  <c:v>227.80024119179282</c:v>
                </c:pt>
                <c:pt idx="186">
                  <c:v>238.91890857724692</c:v>
                </c:pt>
                <c:pt idx="187">
                  <c:v>250.58026531097209</c:v>
                </c:pt>
                <c:pt idx="188">
                  <c:v>262.81079943497161</c:v>
                </c:pt>
                <c:pt idx="189">
                  <c:v>275.63829184206929</c:v>
                </c:pt>
                <c:pt idx="190">
                  <c:v>289.09187937846878</c:v>
                </c:pt>
                <c:pt idx="191">
                  <c:v>303.20212102627625</c:v>
                </c:pt>
                <c:pt idx="192">
                  <c:v>318.0010673163157</c:v>
                </c:pt>
                <c:pt idx="193">
                  <c:v>333.52233312890388</c:v>
                </c:pt>
                <c:pt idx="194">
                  <c:v>349.80117404794731</c:v>
                </c:pt>
                <c:pt idx="195">
                  <c:v>366.87456644179434</c:v>
                </c:pt>
                <c:pt idx="196">
                  <c:v>384.78129145274204</c:v>
                </c:pt>
                <c:pt idx="197">
                  <c:v>403.56202308597386</c:v>
                </c:pt>
                <c:pt idx="198">
                  <c:v>423.25942059801633</c:v>
                </c:pt>
                <c:pt idx="199">
                  <c:v>443.91822539457121</c:v>
                </c:pt>
                <c:pt idx="200">
                  <c:v>465.585362657818</c:v>
                </c:pt>
                <c:pt idx="201">
                  <c:v>488.31004793402838</c:v>
                </c:pt>
                <c:pt idx="202">
                  <c:v>512.14389892359975</c:v>
                </c:pt>
                <c:pt idx="203">
                  <c:v>537.14105272743132</c:v>
                </c:pt>
                <c:pt idx="204">
                  <c:v>563.3582888159599</c:v>
                </c:pt>
                <c:pt idx="205">
                  <c:v>590.85515800017447</c:v>
                </c:pt>
                <c:pt idx="206">
                  <c:v>619.69411769755595</c:v>
                </c:pt>
                <c:pt idx="207">
                  <c:v>649.94067380019203</c:v>
                </c:pt>
                <c:pt idx="208">
                  <c:v>681.66352946731149</c:v>
                </c:pt>
                <c:pt idx="209">
                  <c:v>714.93474118021106</c:v>
                </c:pt>
                <c:pt idx="210">
                  <c:v>749.82988241404269</c:v>
                </c:pt>
                <c:pt idx="211">
                  <c:v>786.42821529823254</c:v>
                </c:pt>
                <c:pt idx="212">
                  <c:v>824.81287065544711</c:v>
                </c:pt>
                <c:pt idx="213">
                  <c:v>865.07103682805575</c:v>
                </c:pt>
                <c:pt idx="214">
                  <c:v>907.29415772099208</c:v>
                </c:pt>
                <c:pt idx="215">
                  <c:v>951.57814051086132</c:v>
                </c:pt>
                <c:pt idx="216">
                  <c:v>998.02357349309136</c:v>
                </c:pt>
                <c:pt idx="217">
                  <c:v>1046.7359545619477</c:v>
                </c:pt>
                <c:pt idx="218">
                  <c:v>1097.8259308424003</c:v>
                </c:pt>
              </c:numCache>
            </c:numRef>
          </c:yVal>
          <c:smooth val="1"/>
          <c:extLst>
            <c:ext xmlns:c16="http://schemas.microsoft.com/office/drawing/2014/chart" uri="{C3380CC4-5D6E-409C-BE32-E72D297353CC}">
              <c16:uniqueId val="{00000001-74B4-4EBC-BEA6-4616C73D3315}"/>
            </c:ext>
          </c:extLst>
        </c:ser>
        <c:ser>
          <c:idx val="2"/>
          <c:order val="2"/>
          <c:tx>
            <c:v>Multiple-reflection loss correction M</c:v>
          </c:tx>
          <c:spPr>
            <a:ln w="28575" cap="rnd">
              <a:solidFill>
                <a:srgbClr val="00B050"/>
              </a:solidFill>
              <a:prstDash val="dash"/>
              <a:round/>
            </a:ln>
            <a:effectLst/>
          </c:spPr>
          <c:marker>
            <c:symbol val="none"/>
          </c:marker>
          <c:xVal>
            <c:numRef>
              <c:f>Shielding!$A$50:$A$268</c:f>
              <c:numCache>
                <c:formatCode>0.00E+00</c:formatCode>
                <c:ptCount val="219"/>
                <c:pt idx="0">
                  <c:v>10</c:v>
                </c:pt>
                <c:pt idx="1">
                  <c:v>11</c:v>
                </c:pt>
                <c:pt idx="2">
                  <c:v>12.100000000000001</c:v>
                </c:pt>
                <c:pt idx="3">
                  <c:v>13.310000000000002</c:v>
                </c:pt>
                <c:pt idx="4">
                  <c:v>14.641000000000004</c:v>
                </c:pt>
                <c:pt idx="5">
                  <c:v>16.105100000000004</c:v>
                </c:pt>
                <c:pt idx="6">
                  <c:v>17.715610000000005</c:v>
                </c:pt>
                <c:pt idx="7">
                  <c:v>19.487171000000007</c:v>
                </c:pt>
                <c:pt idx="8">
                  <c:v>21.43588810000001</c:v>
                </c:pt>
                <c:pt idx="9">
                  <c:v>23.579476910000015</c:v>
                </c:pt>
                <c:pt idx="10">
                  <c:v>25.937424601000018</c:v>
                </c:pt>
                <c:pt idx="11">
                  <c:v>28.531167061100021</c:v>
                </c:pt>
                <c:pt idx="12">
                  <c:v>31.384283767210025</c:v>
                </c:pt>
                <c:pt idx="13">
                  <c:v>34.522712143931031</c:v>
                </c:pt>
                <c:pt idx="14">
                  <c:v>37.974983358324138</c:v>
                </c:pt>
                <c:pt idx="15">
                  <c:v>41.772481694156554</c:v>
                </c:pt>
                <c:pt idx="16">
                  <c:v>45.949729863572216</c:v>
                </c:pt>
                <c:pt idx="17">
                  <c:v>50.544702849929443</c:v>
                </c:pt>
                <c:pt idx="18">
                  <c:v>55.599173134922395</c:v>
                </c:pt>
                <c:pt idx="19">
                  <c:v>61.159090448414638</c:v>
                </c:pt>
                <c:pt idx="20">
                  <c:v>67.274999493256104</c:v>
                </c:pt>
                <c:pt idx="21">
                  <c:v>74.002499442581723</c:v>
                </c:pt>
                <c:pt idx="22">
                  <c:v>81.402749386839901</c:v>
                </c:pt>
                <c:pt idx="23">
                  <c:v>89.543024325523902</c:v>
                </c:pt>
                <c:pt idx="24">
                  <c:v>98.497326758076298</c:v>
                </c:pt>
                <c:pt idx="25">
                  <c:v>108.34705943388394</c:v>
                </c:pt>
                <c:pt idx="26">
                  <c:v>119.18176537727234</c:v>
                </c:pt>
                <c:pt idx="27">
                  <c:v>131.09994191499959</c:v>
                </c:pt>
                <c:pt idx="28">
                  <c:v>144.20993610649955</c:v>
                </c:pt>
                <c:pt idx="29">
                  <c:v>158.63092971714951</c:v>
                </c:pt>
                <c:pt idx="30">
                  <c:v>174.49402268886448</c:v>
                </c:pt>
                <c:pt idx="31">
                  <c:v>191.94342495775095</c:v>
                </c:pt>
                <c:pt idx="32">
                  <c:v>211.13776745352607</c:v>
                </c:pt>
                <c:pt idx="33">
                  <c:v>232.25154419887869</c:v>
                </c:pt>
                <c:pt idx="34">
                  <c:v>255.47669861876659</c:v>
                </c:pt>
                <c:pt idx="35">
                  <c:v>281.02436848064326</c:v>
                </c:pt>
                <c:pt idx="36">
                  <c:v>309.12680532870763</c:v>
                </c:pt>
                <c:pt idx="37">
                  <c:v>340.03948586157844</c:v>
                </c:pt>
                <c:pt idx="38">
                  <c:v>374.04343444773633</c:v>
                </c:pt>
                <c:pt idx="39">
                  <c:v>411.44777789250998</c:v>
                </c:pt>
                <c:pt idx="40">
                  <c:v>452.59255568176098</c:v>
                </c:pt>
                <c:pt idx="41">
                  <c:v>497.8518112499371</c:v>
                </c:pt>
                <c:pt idx="42">
                  <c:v>547.63699237493086</c:v>
                </c:pt>
                <c:pt idx="43">
                  <c:v>602.400691612424</c:v>
                </c:pt>
                <c:pt idx="44">
                  <c:v>662.64076077366644</c:v>
                </c:pt>
                <c:pt idx="45">
                  <c:v>728.90483685103311</c:v>
                </c:pt>
                <c:pt idx="46">
                  <c:v>801.7953205361365</c:v>
                </c:pt>
                <c:pt idx="47">
                  <c:v>881.97485258975018</c:v>
                </c:pt>
                <c:pt idx="48">
                  <c:v>970.17233784872531</c:v>
                </c:pt>
                <c:pt idx="49">
                  <c:v>1067.189571633598</c:v>
                </c:pt>
                <c:pt idx="50">
                  <c:v>1173.9085287969579</c:v>
                </c:pt>
                <c:pt idx="51">
                  <c:v>1291.2993816766536</c:v>
                </c:pt>
                <c:pt idx="52">
                  <c:v>1420.429319844319</c:v>
                </c:pt>
                <c:pt idx="53">
                  <c:v>1562.472251828751</c:v>
                </c:pt>
                <c:pt idx="54">
                  <c:v>1718.7194770116264</c:v>
                </c:pt>
                <c:pt idx="55">
                  <c:v>1890.5914247127891</c:v>
                </c:pt>
                <c:pt idx="56">
                  <c:v>2079.6505671840682</c:v>
                </c:pt>
                <c:pt idx="57">
                  <c:v>2287.6156239024754</c:v>
                </c:pt>
                <c:pt idx="58">
                  <c:v>2516.3771862927233</c:v>
                </c:pt>
                <c:pt idx="59">
                  <c:v>2768.0149049219958</c:v>
                </c:pt>
                <c:pt idx="60">
                  <c:v>3044.8163954141955</c:v>
                </c:pt>
                <c:pt idx="61">
                  <c:v>3349.2980349556155</c:v>
                </c:pt>
                <c:pt idx="62">
                  <c:v>3684.2278384511774</c:v>
                </c:pt>
                <c:pt idx="63">
                  <c:v>4052.6506222962953</c:v>
                </c:pt>
                <c:pt idx="64">
                  <c:v>4457.9156845259249</c:v>
                </c:pt>
                <c:pt idx="65">
                  <c:v>4903.7072529785182</c:v>
                </c:pt>
                <c:pt idx="66">
                  <c:v>5394.0779782763702</c:v>
                </c:pt>
                <c:pt idx="67">
                  <c:v>5933.4857761040075</c:v>
                </c:pt>
                <c:pt idx="68">
                  <c:v>6526.8343537144092</c:v>
                </c:pt>
                <c:pt idx="69">
                  <c:v>7179.5177890858504</c:v>
                </c:pt>
                <c:pt idx="70">
                  <c:v>7897.4695679944361</c:v>
                </c:pt>
                <c:pt idx="71">
                  <c:v>8687.216524793881</c:v>
                </c:pt>
                <c:pt idx="72">
                  <c:v>9555.9381772732704</c:v>
                </c:pt>
                <c:pt idx="73">
                  <c:v>10511.531995000598</c:v>
                </c:pt>
                <c:pt idx="74">
                  <c:v>11562.685194500658</c:v>
                </c:pt>
                <c:pt idx="75">
                  <c:v>12718.953713950725</c:v>
                </c:pt>
                <c:pt idx="76">
                  <c:v>13990.849085345799</c:v>
                </c:pt>
                <c:pt idx="77">
                  <c:v>15389.933993880381</c:v>
                </c:pt>
                <c:pt idx="78">
                  <c:v>16928.927393268419</c:v>
                </c:pt>
                <c:pt idx="79">
                  <c:v>18621.820132595261</c:v>
                </c:pt>
                <c:pt idx="80">
                  <c:v>20484.002145854789</c:v>
                </c:pt>
                <c:pt idx="81">
                  <c:v>22532.402360440268</c:v>
                </c:pt>
                <c:pt idx="82">
                  <c:v>24785.642596484297</c:v>
                </c:pt>
                <c:pt idx="83">
                  <c:v>27264.206856132729</c:v>
                </c:pt>
                <c:pt idx="84">
                  <c:v>29990.627541746006</c:v>
                </c:pt>
                <c:pt idx="85">
                  <c:v>32989.690295920605</c:v>
                </c:pt>
                <c:pt idx="86">
                  <c:v>36288.659325512672</c:v>
                </c:pt>
                <c:pt idx="87">
                  <c:v>39917.525258063943</c:v>
                </c:pt>
                <c:pt idx="88">
                  <c:v>43909.27778387034</c:v>
                </c:pt>
                <c:pt idx="89">
                  <c:v>48300.205562257375</c:v>
                </c:pt>
                <c:pt idx="90">
                  <c:v>53130.226118483115</c:v>
                </c:pt>
                <c:pt idx="91">
                  <c:v>58443.248730331434</c:v>
                </c:pt>
                <c:pt idx="92">
                  <c:v>64287.573603364581</c:v>
                </c:pt>
                <c:pt idx="93">
                  <c:v>70716.330963701039</c:v>
                </c:pt>
                <c:pt idx="94">
                  <c:v>77787.964060071143</c:v>
                </c:pt>
                <c:pt idx="95">
                  <c:v>85566.760466078267</c:v>
                </c:pt>
                <c:pt idx="96">
                  <c:v>94123.436512686108</c:v>
                </c:pt>
                <c:pt idx="97">
                  <c:v>103535.78016395473</c:v>
                </c:pt>
                <c:pt idx="98">
                  <c:v>113889.3581803502</c:v>
                </c:pt>
                <c:pt idx="99">
                  <c:v>125278.29399838523</c:v>
                </c:pt>
                <c:pt idx="100">
                  <c:v>137806.12339822375</c:v>
                </c:pt>
                <c:pt idx="101">
                  <c:v>151586.73573804615</c:v>
                </c:pt>
                <c:pt idx="102">
                  <c:v>166745.40931185079</c:v>
                </c:pt>
                <c:pt idx="103">
                  <c:v>183419.95024303588</c:v>
                </c:pt>
                <c:pt idx="104">
                  <c:v>201761.9452673395</c:v>
                </c:pt>
                <c:pt idx="105">
                  <c:v>221938.13979407348</c:v>
                </c:pt>
                <c:pt idx="106">
                  <c:v>244131.95377348084</c:v>
                </c:pt>
                <c:pt idx="107">
                  <c:v>268545.14915082895</c:v>
                </c:pt>
                <c:pt idx="108">
                  <c:v>295399.66406591184</c:v>
                </c:pt>
                <c:pt idx="109">
                  <c:v>324939.63047250308</c:v>
                </c:pt>
                <c:pt idx="110">
                  <c:v>357433.59351975343</c:v>
                </c:pt>
                <c:pt idx="111">
                  <c:v>393176.9528717288</c:v>
                </c:pt>
                <c:pt idx="112">
                  <c:v>432494.64815890172</c:v>
                </c:pt>
                <c:pt idx="113">
                  <c:v>475744.1129747919</c:v>
                </c:pt>
                <c:pt idx="114">
                  <c:v>523318.52427227114</c:v>
                </c:pt>
                <c:pt idx="115">
                  <c:v>575650.37669949827</c:v>
                </c:pt>
                <c:pt idx="116">
                  <c:v>633215.4143694482</c:v>
                </c:pt>
                <c:pt idx="117">
                  <c:v>696536.95580639306</c:v>
                </c:pt>
                <c:pt idx="118">
                  <c:v>766190.65138703247</c:v>
                </c:pt>
                <c:pt idx="119">
                  <c:v>842809.7165257358</c:v>
                </c:pt>
                <c:pt idx="120">
                  <c:v>927090.68817830947</c:v>
                </c:pt>
                <c:pt idx="121">
                  <c:v>1019799.7569961405</c:v>
                </c:pt>
                <c:pt idx="122">
                  <c:v>1121779.7326957546</c:v>
                </c:pt>
                <c:pt idx="123">
                  <c:v>1233957.7059653301</c:v>
                </c:pt>
                <c:pt idx="124">
                  <c:v>1357353.4765618632</c:v>
                </c:pt>
                <c:pt idx="125">
                  <c:v>1493088.8242180496</c:v>
                </c:pt>
                <c:pt idx="126">
                  <c:v>1642397.7066398547</c:v>
                </c:pt>
                <c:pt idx="127">
                  <c:v>1806637.4773038402</c:v>
                </c:pt>
                <c:pt idx="128">
                  <c:v>1987301.2250342243</c:v>
                </c:pt>
                <c:pt idx="129">
                  <c:v>2186031.347537647</c:v>
                </c:pt>
                <c:pt idx="130">
                  <c:v>2404634.4822914121</c:v>
                </c:pt>
                <c:pt idx="131">
                  <c:v>2645097.9305205536</c:v>
                </c:pt>
                <c:pt idx="132">
                  <c:v>2909607.723572609</c:v>
                </c:pt>
                <c:pt idx="133">
                  <c:v>3200568.4959298703</c:v>
                </c:pt>
                <c:pt idx="134">
                  <c:v>3520625.3455228577</c:v>
                </c:pt>
                <c:pt idx="135">
                  <c:v>3872687.8800751437</c:v>
                </c:pt>
                <c:pt idx="136">
                  <c:v>4259956.6680826582</c:v>
                </c:pt>
                <c:pt idx="137">
                  <c:v>4685952.3348909244</c:v>
                </c:pt>
                <c:pt idx="138">
                  <c:v>5154547.5683800168</c:v>
                </c:pt>
                <c:pt idx="139">
                  <c:v>5670002.3252180191</c:v>
                </c:pt>
                <c:pt idx="140">
                  <c:v>6237002.5577398213</c:v>
                </c:pt>
                <c:pt idx="141">
                  <c:v>6860702.8135138042</c:v>
                </c:pt>
                <c:pt idx="142">
                  <c:v>7546773.0948651852</c:v>
                </c:pt>
                <c:pt idx="143">
                  <c:v>8301450.4043517048</c:v>
                </c:pt>
                <c:pt idx="144">
                  <c:v>9131595.4447868764</c:v>
                </c:pt>
                <c:pt idx="145">
                  <c:v>10044754.989265565</c:v>
                </c:pt>
                <c:pt idx="146">
                  <c:v>11049230.488192122</c:v>
                </c:pt>
                <c:pt idx="147">
                  <c:v>12154153.537011337</c:v>
                </c:pt>
                <c:pt idx="148">
                  <c:v>13369568.890712472</c:v>
                </c:pt>
                <c:pt idx="149">
                  <c:v>14706525.77978372</c:v>
                </c:pt>
                <c:pt idx="150">
                  <c:v>16177178.357762093</c:v>
                </c:pt>
                <c:pt idx="151">
                  <c:v>17794896.193538304</c:v>
                </c:pt>
                <c:pt idx="152">
                  <c:v>19574385.812892135</c:v>
                </c:pt>
                <c:pt idx="153">
                  <c:v>21531824.394181352</c:v>
                </c:pt>
                <c:pt idx="154">
                  <c:v>23685006.833599489</c:v>
                </c:pt>
                <c:pt idx="155">
                  <c:v>26053507.51695944</c:v>
                </c:pt>
                <c:pt idx="156">
                  <c:v>28658858.268655386</c:v>
                </c:pt>
                <c:pt idx="157">
                  <c:v>31524744.095520929</c:v>
                </c:pt>
                <c:pt idx="158">
                  <c:v>34677218.505073026</c:v>
                </c:pt>
                <c:pt idx="159">
                  <c:v>38144940.35558033</c:v>
                </c:pt>
                <c:pt idx="160">
                  <c:v>41959434.391138367</c:v>
                </c:pt>
                <c:pt idx="161">
                  <c:v>46155377.830252208</c:v>
                </c:pt>
                <c:pt idx="162">
                  <c:v>50770915.613277435</c:v>
                </c:pt>
                <c:pt idx="163">
                  <c:v>55848007.174605183</c:v>
                </c:pt>
                <c:pt idx="164">
                  <c:v>61432807.892065704</c:v>
                </c:pt>
                <c:pt idx="165">
                  <c:v>67576088.681272283</c:v>
                </c:pt>
                <c:pt idx="166">
                  <c:v>74333697.549399525</c:v>
                </c:pt>
                <c:pt idx="167">
                  <c:v>81767067.304339483</c:v>
                </c:pt>
                <c:pt idx="168">
                  <c:v>89943774.034773439</c:v>
                </c:pt>
                <c:pt idx="169">
                  <c:v>98938151.438250795</c:v>
                </c:pt>
                <c:pt idx="170">
                  <c:v>108831966.58207588</c:v>
                </c:pt>
                <c:pt idx="171">
                  <c:v>119715163.24028347</c:v>
                </c:pt>
                <c:pt idx="172">
                  <c:v>131686679.56431183</c:v>
                </c:pt>
                <c:pt idx="173">
                  <c:v>144855347.52074301</c:v>
                </c:pt>
                <c:pt idx="174">
                  <c:v>159340882.27281731</c:v>
                </c:pt>
                <c:pt idx="175">
                  <c:v>175274970.50009906</c:v>
                </c:pt>
                <c:pt idx="176">
                  <c:v>192802467.550109</c:v>
                </c:pt>
                <c:pt idx="177">
                  <c:v>212082714.3051199</c:v>
                </c:pt>
                <c:pt idx="178">
                  <c:v>233290985.73563191</c:v>
                </c:pt>
                <c:pt idx="179">
                  <c:v>256620084.30919513</c:v>
                </c:pt>
                <c:pt idx="180">
                  <c:v>282282092.74011469</c:v>
                </c:pt>
                <c:pt idx="181">
                  <c:v>310510302.01412618</c:v>
                </c:pt>
                <c:pt idx="182">
                  <c:v>341561332.2155388</c:v>
                </c:pt>
                <c:pt idx="183">
                  <c:v>375717465.43709272</c:v>
                </c:pt>
                <c:pt idx="184">
                  <c:v>413289211.980802</c:v>
                </c:pt>
                <c:pt idx="185">
                  <c:v>454618133.17888224</c:v>
                </c:pt>
                <c:pt idx="186">
                  <c:v>500079946.4967705</c:v>
                </c:pt>
                <c:pt idx="187">
                  <c:v>550087941.14644754</c:v>
                </c:pt>
                <c:pt idx="188">
                  <c:v>605096735.26109231</c:v>
                </c:pt>
                <c:pt idx="189">
                  <c:v>665606408.78720164</c:v>
                </c:pt>
                <c:pt idx="190">
                  <c:v>732167049.66592181</c:v>
                </c:pt>
                <c:pt idx="191">
                  <c:v>805383754.632514</c:v>
                </c:pt>
                <c:pt idx="192">
                  <c:v>885922130.09576547</c:v>
                </c:pt>
                <c:pt idx="193">
                  <c:v>974514343.10534215</c:v>
                </c:pt>
                <c:pt idx="194">
                  <c:v>1071965777.4158765</c:v>
                </c:pt>
                <c:pt idx="195">
                  <c:v>1179162355.1574643</c:v>
                </c:pt>
                <c:pt idx="196">
                  <c:v>1297078590.6732109</c:v>
                </c:pt>
                <c:pt idx="197">
                  <c:v>1426786449.7405322</c:v>
                </c:pt>
                <c:pt idx="198">
                  <c:v>1569465094.7145855</c:v>
                </c:pt>
                <c:pt idx="199">
                  <c:v>1726411604.1860442</c:v>
                </c:pt>
                <c:pt idx="200">
                  <c:v>1899052764.6046488</c:v>
                </c:pt>
                <c:pt idx="201">
                  <c:v>2088958041.0651138</c:v>
                </c:pt>
                <c:pt idx="202">
                  <c:v>2297853845.1716251</c:v>
                </c:pt>
                <c:pt idx="203">
                  <c:v>2527639229.6887879</c:v>
                </c:pt>
                <c:pt idx="204">
                  <c:v>2780403152.6576672</c:v>
                </c:pt>
                <c:pt idx="205">
                  <c:v>3058443467.9234343</c:v>
                </c:pt>
                <c:pt idx="206">
                  <c:v>3364287814.7157779</c:v>
                </c:pt>
                <c:pt idx="207">
                  <c:v>3700716596.187356</c:v>
                </c:pt>
                <c:pt idx="208">
                  <c:v>4070788255.8060918</c:v>
                </c:pt>
                <c:pt idx="209">
                  <c:v>4477867081.3867016</c:v>
                </c:pt>
                <c:pt idx="210">
                  <c:v>4925653789.5253725</c:v>
                </c:pt>
                <c:pt idx="211">
                  <c:v>5418219168.47791</c:v>
                </c:pt>
                <c:pt idx="212">
                  <c:v>5960041085.3257017</c:v>
                </c:pt>
                <c:pt idx="213">
                  <c:v>6556045193.8582726</c:v>
                </c:pt>
                <c:pt idx="214">
                  <c:v>7211649713.2441006</c:v>
                </c:pt>
                <c:pt idx="215">
                  <c:v>7932814684.568511</c:v>
                </c:pt>
                <c:pt idx="216">
                  <c:v>8726096153.025362</c:v>
                </c:pt>
                <c:pt idx="217">
                  <c:v>9598705768.3278999</c:v>
                </c:pt>
                <c:pt idx="218">
                  <c:v>10558576345.16069</c:v>
                </c:pt>
              </c:numCache>
            </c:numRef>
          </c:xVal>
          <c:yVal>
            <c:numRef>
              <c:f>Shielding!$E$50:$E$268</c:f>
              <c:numCache>
                <c:formatCode>0</c:formatCode>
                <c:ptCount val="219"/>
                <c:pt idx="0">
                  <c:v>-42.228877997870022</c:v>
                </c:pt>
                <c:pt idx="1">
                  <c:v>-41.81659532164786</c:v>
                </c:pt>
                <c:pt idx="2">
                  <c:v>-41.404392783973101</c:v>
                </c:pt>
                <c:pt idx="3">
                  <c:v>-40.992274285139956</c:v>
                </c:pt>
                <c:pt idx="4">
                  <c:v>-40.580243914694179</c:v>
                </c:pt>
                <c:pt idx="5">
                  <c:v>-40.168305960558214</c:v>
                </c:pt>
                <c:pt idx="6">
                  <c:v>-39.75646491859073</c:v>
                </c:pt>
                <c:pt idx="7">
                  <c:v>-39.344725502600596</c:v>
                </c:pt>
                <c:pt idx="8">
                  <c:v>-38.933092654836081</c:v>
                </c:pt>
                <c:pt idx="9">
                  <c:v>-38.521571556971054</c:v>
                </c:pt>
                <c:pt idx="10">
                  <c:v>-38.110167641611106</c:v>
                </c:pt>
                <c:pt idx="11">
                  <c:v>-37.698886604343315</c:v>
                </c:pt>
                <c:pt idx="12">
                  <c:v>-37.28773441635402</c:v>
                </c:pt>
                <c:pt idx="13">
                  <c:v>-36.876717337641431</c:v>
                </c:pt>
                <c:pt idx="14">
                  <c:v>-36.465841930848256</c:v>
                </c:pt>
                <c:pt idx="15">
                  <c:v>-36.055115075743814</c:v>
                </c:pt>
                <c:pt idx="16">
                  <c:v>-35.644543984383731</c:v>
                </c:pt>
                <c:pt idx="17">
                  <c:v>-35.234136216977788</c:v>
                </c:pt>
                <c:pt idx="18">
                  <c:v>-34.823899698497108</c:v>
                </c:pt>
                <c:pt idx="19">
                  <c:v>-34.413842736053276</c:v>
                </c:pt>
                <c:pt idx="20">
                  <c:v>-34.003974037083616</c:v>
                </c:pt>
                <c:pt idx="21">
                  <c:v>-33.594302728376995</c:v>
                </c:pt>
                <c:pt idx="22">
                  <c:v>-33.18483837597708</c:v>
                </c:pt>
                <c:pt idx="23">
                  <c:v>-32.775591006000845</c:v>
                </c:pt>
                <c:pt idx="24">
                  <c:v>-32.366571126410456</c:v>
                </c:pt>
                <c:pt idx="25">
                  <c:v>-31.957789749780229</c:v>
                </c:pt>
                <c:pt idx="26">
                  <c:v>-31.549258417099146</c:v>
                </c:pt>
                <c:pt idx="27">
                  <c:v>-31.140989222652685</c:v>
                </c:pt>
                <c:pt idx="28">
                  <c:v>-30.732994840028049</c:v>
                </c:pt>
                <c:pt idx="29">
                  <c:v>-30.325288549288963</c:v>
                </c:pt>
                <c:pt idx="30">
                  <c:v>-29.917884265366389</c:v>
                </c:pt>
                <c:pt idx="31">
                  <c:v>-29.51079656771439</c:v>
                </c:pt>
                <c:pt idx="32">
                  <c:v>-29.104040731280037</c:v>
                </c:pt>
                <c:pt idx="33">
                  <c:v>-28.697632758838797</c:v>
                </c:pt>
                <c:pt idx="34">
                  <c:v>-28.291589414746827</c:v>
                </c:pt>
                <c:pt idx="35">
                  <c:v>-27.885928260163997</c:v>
                </c:pt>
                <c:pt idx="36">
                  <c:v>-27.480667689800995</c:v>
                </c:pt>
                <c:pt idx="37">
                  <c:v>-27.07582697024581</c:v>
                </c:pt>
                <c:pt idx="38">
                  <c:v>-26.671426279925434</c:v>
                </c:pt>
                <c:pt idx="39">
                  <c:v>-26.267486750758621</c:v>
                </c:pt>
                <c:pt idx="40">
                  <c:v>-25.864030511556841</c:v>
                </c:pt>
                <c:pt idx="41">
                  <c:v>-25.461080733229938</c:v>
                </c:pt>
                <c:pt idx="42">
                  <c:v>-25.058661675853529</c:v>
                </c:pt>
                <c:pt idx="43">
                  <c:v>-24.656798737654423</c:v>
                </c:pt>
                <c:pt idx="44">
                  <c:v>-24.255518505970119</c:v>
                </c:pt>
                <c:pt idx="45">
                  <c:v>-23.854848810236721</c:v>
                </c:pt>
                <c:pt idx="46">
                  <c:v>-23.454818777059057</c:v>
                </c:pt>
                <c:pt idx="47">
                  <c:v>-23.055458887413938</c:v>
                </c:pt>
                <c:pt idx="48">
                  <c:v>-22.656801036035624</c:v>
                </c:pt>
                <c:pt idx="49">
                  <c:v>-22.25887859302917</c:v>
                </c:pt>
                <c:pt idx="50">
                  <c:v>-21.861726467753822</c:v>
                </c:pt>
                <c:pt idx="51">
                  <c:v>-21.465381175013455</c:v>
                </c:pt>
                <c:pt idx="52">
                  <c:v>-21.069880903586437</c:v>
                </c:pt>
                <c:pt idx="53">
                  <c:v>-20.675265587120233</c:v>
                </c:pt>
                <c:pt idx="54">
                  <c:v>-20.281576977408871</c:v>
                </c:pt>
                <c:pt idx="55">
                  <c:v>-19.88885872006238</c:v>
                </c:pt>
                <c:pt idx="56">
                  <c:v>-19.49715643256781</c:v>
                </c:pt>
                <c:pt idx="57">
                  <c:v>-19.106517784728965</c:v>
                </c:pt>
                <c:pt idx="58">
                  <c:v>-18.71699258145955</c:v>
                </c:pt>
                <c:pt idx="59">
                  <c:v>-18.328632847888688</c:v>
                </c:pt>
                <c:pt idx="60">
                  <c:v>-17.941492916720815</c:v>
                </c:pt>
                <c:pt idx="61">
                  <c:v>-17.55562951777236</c:v>
                </c:pt>
                <c:pt idx="62">
                  <c:v>-17.171101869585563</c:v>
                </c:pt>
                <c:pt idx="63">
                  <c:v>-16.787971772994908</c:v>
                </c:pt>
                <c:pt idx="64">
                  <c:v>-16.406303706493723</c:v>
                </c:pt>
                <c:pt idx="65">
                  <c:v>-16.026164923217141</c:v>
                </c:pt>
                <c:pt idx="66">
                  <c:v>-15.64762554932244</c:v>
                </c:pt>
                <c:pt idx="67">
                  <c:v>-15.270758683508767</c:v>
                </c:pt>
                <c:pt idx="68">
                  <c:v>-14.895640497374274</c:v>
                </c:pt>
                <c:pt idx="69">
                  <c:v>-14.522350336260303</c:v>
                </c:pt>
                <c:pt idx="70">
                  <c:v>-14.150970820178049</c:v>
                </c:pt>
                <c:pt idx="71">
                  <c:v>-13.781587944353451</c:v>
                </c:pt>
                <c:pt idx="72">
                  <c:v>-13.414291178859472</c:v>
                </c:pt>
                <c:pt idx="73">
                  <c:v>-13.04917356673216</c:v>
                </c:pt>
                <c:pt idx="74">
                  <c:v>-12.686331819885767</c:v>
                </c:pt>
                <c:pt idx="75">
                  <c:v>-12.325866412053777</c:v>
                </c:pt>
                <c:pt idx="76">
                  <c:v>-11.967881667884988</c:v>
                </c:pt>
                <c:pt idx="77">
                  <c:v>-11.612485847217144</c:v>
                </c:pt>
                <c:pt idx="78">
                  <c:v>-11.259791223433847</c:v>
                </c:pt>
                <c:pt idx="79">
                  <c:v>-10.909914154683136</c:v>
                </c:pt>
                <c:pt idx="80">
                  <c:v>-10.562975146597744</c:v>
                </c:pt>
                <c:pt idx="81">
                  <c:v>-10.219098905007018</c:v>
                </c:pt>
                <c:pt idx="82">
                  <c:v>-9.8784143769679158</c:v>
                </c:pt>
                <c:pt idx="83">
                  <c:v>-9.541054778268002</c:v>
                </c:pt>
                <c:pt idx="84">
                  <c:v>-9.2071576053655093</c:v>
                </c:pt>
                <c:pt idx="85">
                  <c:v>-8.8768646295312585</c:v>
                </c:pt>
                <c:pt idx="86">
                  <c:v>-8.5503218707440301</c:v>
                </c:pt>
                <c:pt idx="87">
                  <c:v>-8.2276795486659751</c:v>
                </c:pt>
                <c:pt idx="88">
                  <c:v>-7.9090920077879909</c:v>
                </c:pt>
                <c:pt idx="89">
                  <c:v>-7.594717613588891</c:v>
                </c:pt>
                <c:pt idx="90">
                  <c:v>-7.2847186162979982</c:v>
                </c:pt>
                <c:pt idx="91">
                  <c:v>-6.9792609785915243</c:v>
                </c:pt>
                <c:pt idx="92">
                  <c:v>-6.6785141632923484</c:v>
                </c:pt>
                <c:pt idx="93">
                  <c:v>-6.3826508768854042</c:v>
                </c:pt>
                <c:pt idx="94">
                  <c:v>-6.0918467644124519</c:v>
                </c:pt>
                <c:pt idx="95">
                  <c:v>-5.8062800510787058</c:v>
                </c:pt>
                <c:pt idx="96">
                  <c:v>-5.526131125698198</c:v>
                </c:pt>
                <c:pt idx="97">
                  <c:v>-5.2515820609368564</c:v>
                </c:pt>
                <c:pt idx="98">
                  <c:v>-4.9828160651954549</c:v>
                </c:pt>
                <c:pt idx="99">
                  <c:v>-4.7200168609252326</c:v>
                </c:pt>
                <c:pt idx="100">
                  <c:v>-4.463367984206692</c:v>
                </c:pt>
                <c:pt idx="101">
                  <c:v>-4.2130520005691583</c:v>
                </c:pt>
                <c:pt idx="102">
                  <c:v>-3.9692496323115551</c:v>
                </c:pt>
                <c:pt idx="103">
                  <c:v>-3.732138793032969</c:v>
                </c:pt>
                <c:pt idx="104">
                  <c:v>-3.5018935257286179</c:v>
                </c:pt>
                <c:pt idx="105">
                  <c:v>-3.2786828416895086</c:v>
                </c:pt>
                <c:pt idx="106">
                  <c:v>-3.0626694586025405</c:v>
                </c:pt>
                <c:pt idx="107">
                  <c:v>-2.8540084377240786</c:v>
                </c:pt>
                <c:pt idx="108">
                  <c:v>-2.652845721837517</c:v>
                </c:pt>
                <c:pt idx="109">
                  <c:v>-2.4593165779462107</c:v>
                </c:pt>
                <c:pt idx="110">
                  <c:v>-2.2735439513365363</c:v>
                </c:pt>
                <c:pt idx="111">
                  <c:v>-2.0956367408033154</c:v>
                </c:pt>
                <c:pt idx="112">
                  <c:v>-1.9256880084824444</c:v>
                </c:pt>
                <c:pt idx="113">
                  <c:v>-1.7637731418867548</c:v>
                </c:pt>
                <c:pt idx="114">
                  <c:v>-1.609947990371102</c:v>
                </c:pt>
                <c:pt idx="115">
                  <c:v>-1.4642470033105885</c:v>
                </c:pt>
                <c:pt idx="116">
                  <c:v>-1.3266814026706197</c:v>
                </c:pt>
                <c:pt idx="117">
                  <c:v>-1.1972374282398841</c:v>
                </c:pt>
                <c:pt idx="118">
                  <c:v>-1.075874699390309</c:v>
                </c:pt>
                <c:pt idx="119">
                  <c:v>-0.96252474256008203</c:v>
                </c:pt>
                <c:pt idx="120">
                  <c:v>-0.85708973839572644</c:v>
                </c:pt>
                <c:pt idx="121">
                  <c:v>-0.75944154623591931</c:v>
                </c:pt>
                <c:pt idx="122">
                  <c:v>-0.66942106590863393</c:v>
                </c:pt>
                <c:pt idx="123">
                  <c:v>-0.58683799712988249</c:v>
                </c:pt>
                <c:pt idx="124">
                  <c:v>-0.51147105459946229</c:v>
                </c:pt>
                <c:pt idx="125">
                  <c:v>-0.44306869166246426</c:v>
                </c:pt>
                <c:pt idx="126">
                  <c:v>-0.38135037668601318</c:v>
                </c:pt>
                <c:pt idx="127">
                  <c:v>-0.32600845375716636</c:v>
                </c:pt>
                <c:pt idx="128">
                  <c:v>-0.2767106028077681</c:v>
                </c:pt>
                <c:pt idx="129">
                  <c:v>-0.23310289395694522</c:v>
                </c:pt>
                <c:pt idx="130">
                  <c:v>-0.19481340721577711</c:v>
                </c:pt>
                <c:pt idx="131">
                  <c:v>-0.16145636259868065</c:v>
                </c:pt>
                <c:pt idx="132">
                  <c:v>-0.13263667842266902</c:v>
                </c:pt>
                <c:pt idx="133">
                  <c:v>-0.10795484882750915</c:v>
                </c:pt>
                <c:pt idx="134">
                  <c:v>-8.7012007304335864E-2</c:v>
                </c:pt>
                <c:pt idx="135">
                  <c:v>-6.9415023433238882E-2</c:v>
                </c:pt>
                <c:pt idx="136">
                  <c:v>-5.4781467229064795E-2</c:v>
                </c:pt>
                <c:pt idx="137">
                  <c:v>-4.2744271338984674E-2</c:v>
                </c:pt>
                <c:pt idx="138">
                  <c:v>-3.2955927161698137E-2</c:v>
                </c:pt>
                <c:pt idx="139">
                  <c:v>-2.5092067342713523E-2</c:v>
                </c:pt>
                <c:pt idx="140">
                  <c:v>-1.8854313680392209E-2</c:v>
                </c:pt>
                <c:pt idx="141">
                  <c:v>-1.3972304871505414E-2</c:v>
                </c:pt>
                <c:pt idx="142">
                  <c:v>-1.0204860375510348E-2</c:v>
                </c:pt>
                <c:pt idx="143">
                  <c:v>-7.3402818325903332E-3</c:v>
                </c:pt>
                <c:pt idx="144">
                  <c:v>-5.1958382928651362E-3</c:v>
                </c:pt>
                <c:pt idx="145">
                  <c:v>-3.6165222746446131E-3</c:v>
                </c:pt>
                <c:pt idx="146">
                  <c:v>-2.4731969843156034E-3</c:v>
                </c:pt>
                <c:pt idx="147">
                  <c:v>-1.6602782685352969E-3</c:v>
                </c:pt>
                <c:pt idx="148">
                  <c:v>-1.0931064690282741E-3</c:v>
                </c:pt>
                <c:pt idx="149">
                  <c:v>-7.0516299412624417E-4</c:v>
                </c:pt>
                <c:pt idx="150">
                  <c:v>-4.4527504062509467E-4</c:v>
                </c:pt>
                <c:pt idx="151">
                  <c:v>-2.7493150861063848E-4</c:v>
                </c:pt>
                <c:pt idx="152">
                  <c:v>-1.6580653996656842E-4</c:v>
                </c:pt>
                <c:pt idx="153">
                  <c:v>-9.7557444226506669E-5</c:v>
                </c:pt>
                <c:pt idx="154">
                  <c:v>-5.593417414723439E-5</c:v>
                </c:pt>
                <c:pt idx="155">
                  <c:v>-3.1210672207130658E-5</c:v>
                </c:pt>
                <c:pt idx="156">
                  <c:v>-1.6926314557742846E-5</c:v>
                </c:pt>
                <c:pt idx="157">
                  <c:v>-8.9094597149061899E-6</c:v>
                </c:pt>
                <c:pt idx="158">
                  <c:v>-4.5450311669762956E-6</c:v>
                </c:pt>
                <c:pt idx="159">
                  <c:v>-2.2436488428418986E-6</c:v>
                </c:pt>
                <c:pt idx="160">
                  <c:v>-1.0700622011509399E-6</c:v>
                </c:pt>
                <c:pt idx="161">
                  <c:v>-4.9223092385031347E-7</c:v>
                </c:pt>
                <c:pt idx="162">
                  <c:v>-2.1800601262118153E-7</c:v>
                </c:pt>
                <c:pt idx="163">
                  <c:v>-9.2790677103942953E-8</c:v>
                </c:pt>
                <c:pt idx="164">
                  <c:v>-3.7882085790394321E-8</c:v>
                </c:pt>
                <c:pt idx="165">
                  <c:v>-1.4803804648158102E-8</c:v>
                </c:pt>
                <c:pt idx="166">
                  <c:v>-5.5258085371506875E-9</c:v>
                </c:pt>
                <c:pt idx="167">
                  <c:v>-1.9657545396222532E-9</c:v>
                </c:pt>
                <c:pt idx="168">
                  <c:v>-6.6489607359420762E-10</c:v>
                </c:pt>
                <c:pt idx="169">
                  <c:v>-2.1330441396687346E-10</c:v>
                </c:pt>
                <c:pt idx="170">
                  <c:v>-6.4736267157429968E-11</c:v>
                </c:pt>
                <c:pt idx="171">
                  <c:v>-1.8536302562107066E-11</c:v>
                </c:pt>
                <c:pt idx="172">
                  <c:v>-4.9932876218143553E-12</c:v>
                </c:pt>
                <c:pt idx="173">
                  <c:v>-1.261340326251791E-12</c:v>
                </c:pt>
                <c:pt idx="174">
                  <c:v>-2.9797718716497085E-13</c:v>
                </c:pt>
                <c:pt idx="175">
                  <c:v>-6.5574267725623771E-14</c:v>
                </c:pt>
                <c:pt idx="176">
                  <c:v>-1.350058453174603E-14</c:v>
                </c:pt>
                <c:pt idx="177">
                  <c:v>-2.892982399659862E-15</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numCache>
            </c:numRef>
          </c:yVal>
          <c:smooth val="1"/>
          <c:extLst>
            <c:ext xmlns:c16="http://schemas.microsoft.com/office/drawing/2014/chart" uri="{C3380CC4-5D6E-409C-BE32-E72D297353CC}">
              <c16:uniqueId val="{00000002-74B4-4EBC-BEA6-4616C73D3315}"/>
            </c:ext>
          </c:extLst>
        </c:ser>
        <c:ser>
          <c:idx val="3"/>
          <c:order val="3"/>
          <c:tx>
            <c:v>Shielding Effectiveness SE</c:v>
          </c:tx>
          <c:spPr>
            <a:ln w="28575" cap="rnd">
              <a:solidFill>
                <a:srgbClr val="0066CC"/>
              </a:solidFill>
              <a:round/>
            </a:ln>
            <a:effectLst/>
          </c:spPr>
          <c:marker>
            <c:symbol val="none"/>
          </c:marker>
          <c:xVal>
            <c:numRef>
              <c:f>Shielding!$A$50:$A$268</c:f>
              <c:numCache>
                <c:formatCode>0.00E+00</c:formatCode>
                <c:ptCount val="219"/>
                <c:pt idx="0">
                  <c:v>10</c:v>
                </c:pt>
                <c:pt idx="1">
                  <c:v>11</c:v>
                </c:pt>
                <c:pt idx="2">
                  <c:v>12.100000000000001</c:v>
                </c:pt>
                <c:pt idx="3">
                  <c:v>13.310000000000002</c:v>
                </c:pt>
                <c:pt idx="4">
                  <c:v>14.641000000000004</c:v>
                </c:pt>
                <c:pt idx="5">
                  <c:v>16.105100000000004</c:v>
                </c:pt>
                <c:pt idx="6">
                  <c:v>17.715610000000005</c:v>
                </c:pt>
                <c:pt idx="7">
                  <c:v>19.487171000000007</c:v>
                </c:pt>
                <c:pt idx="8">
                  <c:v>21.43588810000001</c:v>
                </c:pt>
                <c:pt idx="9">
                  <c:v>23.579476910000015</c:v>
                </c:pt>
                <c:pt idx="10">
                  <c:v>25.937424601000018</c:v>
                </c:pt>
                <c:pt idx="11">
                  <c:v>28.531167061100021</c:v>
                </c:pt>
                <c:pt idx="12">
                  <c:v>31.384283767210025</c:v>
                </c:pt>
                <c:pt idx="13">
                  <c:v>34.522712143931031</c:v>
                </c:pt>
                <c:pt idx="14">
                  <c:v>37.974983358324138</c:v>
                </c:pt>
                <c:pt idx="15">
                  <c:v>41.772481694156554</c:v>
                </c:pt>
                <c:pt idx="16">
                  <c:v>45.949729863572216</c:v>
                </c:pt>
                <c:pt idx="17">
                  <c:v>50.544702849929443</c:v>
                </c:pt>
                <c:pt idx="18">
                  <c:v>55.599173134922395</c:v>
                </c:pt>
                <c:pt idx="19">
                  <c:v>61.159090448414638</c:v>
                </c:pt>
                <c:pt idx="20">
                  <c:v>67.274999493256104</c:v>
                </c:pt>
                <c:pt idx="21">
                  <c:v>74.002499442581723</c:v>
                </c:pt>
                <c:pt idx="22">
                  <c:v>81.402749386839901</c:v>
                </c:pt>
                <c:pt idx="23">
                  <c:v>89.543024325523902</c:v>
                </c:pt>
                <c:pt idx="24">
                  <c:v>98.497326758076298</c:v>
                </c:pt>
                <c:pt idx="25">
                  <c:v>108.34705943388394</c:v>
                </c:pt>
                <c:pt idx="26">
                  <c:v>119.18176537727234</c:v>
                </c:pt>
                <c:pt idx="27">
                  <c:v>131.09994191499959</c:v>
                </c:pt>
                <c:pt idx="28">
                  <c:v>144.20993610649955</c:v>
                </c:pt>
                <c:pt idx="29">
                  <c:v>158.63092971714951</c:v>
                </c:pt>
                <c:pt idx="30">
                  <c:v>174.49402268886448</c:v>
                </c:pt>
                <c:pt idx="31">
                  <c:v>191.94342495775095</c:v>
                </c:pt>
                <c:pt idx="32">
                  <c:v>211.13776745352607</c:v>
                </c:pt>
                <c:pt idx="33">
                  <c:v>232.25154419887869</c:v>
                </c:pt>
                <c:pt idx="34">
                  <c:v>255.47669861876659</c:v>
                </c:pt>
                <c:pt idx="35">
                  <c:v>281.02436848064326</c:v>
                </c:pt>
                <c:pt idx="36">
                  <c:v>309.12680532870763</c:v>
                </c:pt>
                <c:pt idx="37">
                  <c:v>340.03948586157844</c:v>
                </c:pt>
                <c:pt idx="38">
                  <c:v>374.04343444773633</c:v>
                </c:pt>
                <c:pt idx="39">
                  <c:v>411.44777789250998</c:v>
                </c:pt>
                <c:pt idx="40">
                  <c:v>452.59255568176098</c:v>
                </c:pt>
                <c:pt idx="41">
                  <c:v>497.8518112499371</c:v>
                </c:pt>
                <c:pt idx="42">
                  <c:v>547.63699237493086</c:v>
                </c:pt>
                <c:pt idx="43">
                  <c:v>602.400691612424</c:v>
                </c:pt>
                <c:pt idx="44">
                  <c:v>662.64076077366644</c:v>
                </c:pt>
                <c:pt idx="45">
                  <c:v>728.90483685103311</c:v>
                </c:pt>
                <c:pt idx="46">
                  <c:v>801.7953205361365</c:v>
                </c:pt>
                <c:pt idx="47">
                  <c:v>881.97485258975018</c:v>
                </c:pt>
                <c:pt idx="48">
                  <c:v>970.17233784872531</c:v>
                </c:pt>
                <c:pt idx="49">
                  <c:v>1067.189571633598</c:v>
                </c:pt>
                <c:pt idx="50">
                  <c:v>1173.9085287969579</c:v>
                </c:pt>
                <c:pt idx="51">
                  <c:v>1291.2993816766536</c:v>
                </c:pt>
                <c:pt idx="52">
                  <c:v>1420.429319844319</c:v>
                </c:pt>
                <c:pt idx="53">
                  <c:v>1562.472251828751</c:v>
                </c:pt>
                <c:pt idx="54">
                  <c:v>1718.7194770116264</c:v>
                </c:pt>
                <c:pt idx="55">
                  <c:v>1890.5914247127891</c:v>
                </c:pt>
                <c:pt idx="56">
                  <c:v>2079.6505671840682</c:v>
                </c:pt>
                <c:pt idx="57">
                  <c:v>2287.6156239024754</c:v>
                </c:pt>
                <c:pt idx="58">
                  <c:v>2516.3771862927233</c:v>
                </c:pt>
                <c:pt idx="59">
                  <c:v>2768.0149049219958</c:v>
                </c:pt>
                <c:pt idx="60">
                  <c:v>3044.8163954141955</c:v>
                </c:pt>
                <c:pt idx="61">
                  <c:v>3349.2980349556155</c:v>
                </c:pt>
                <c:pt idx="62">
                  <c:v>3684.2278384511774</c:v>
                </c:pt>
                <c:pt idx="63">
                  <c:v>4052.6506222962953</c:v>
                </c:pt>
                <c:pt idx="64">
                  <c:v>4457.9156845259249</c:v>
                </c:pt>
                <c:pt idx="65">
                  <c:v>4903.7072529785182</c:v>
                </c:pt>
                <c:pt idx="66">
                  <c:v>5394.0779782763702</c:v>
                </c:pt>
                <c:pt idx="67">
                  <c:v>5933.4857761040075</c:v>
                </c:pt>
                <c:pt idx="68">
                  <c:v>6526.8343537144092</c:v>
                </c:pt>
                <c:pt idx="69">
                  <c:v>7179.5177890858504</c:v>
                </c:pt>
                <c:pt idx="70">
                  <c:v>7897.4695679944361</c:v>
                </c:pt>
                <c:pt idx="71">
                  <c:v>8687.216524793881</c:v>
                </c:pt>
                <c:pt idx="72">
                  <c:v>9555.9381772732704</c:v>
                </c:pt>
                <c:pt idx="73">
                  <c:v>10511.531995000598</c:v>
                </c:pt>
                <c:pt idx="74">
                  <c:v>11562.685194500658</c:v>
                </c:pt>
                <c:pt idx="75">
                  <c:v>12718.953713950725</c:v>
                </c:pt>
                <c:pt idx="76">
                  <c:v>13990.849085345799</c:v>
                </c:pt>
                <c:pt idx="77">
                  <c:v>15389.933993880381</c:v>
                </c:pt>
                <c:pt idx="78">
                  <c:v>16928.927393268419</c:v>
                </c:pt>
                <c:pt idx="79">
                  <c:v>18621.820132595261</c:v>
                </c:pt>
                <c:pt idx="80">
                  <c:v>20484.002145854789</c:v>
                </c:pt>
                <c:pt idx="81">
                  <c:v>22532.402360440268</c:v>
                </c:pt>
                <c:pt idx="82">
                  <c:v>24785.642596484297</c:v>
                </c:pt>
                <c:pt idx="83">
                  <c:v>27264.206856132729</c:v>
                </c:pt>
                <c:pt idx="84">
                  <c:v>29990.627541746006</c:v>
                </c:pt>
                <c:pt idx="85">
                  <c:v>32989.690295920605</c:v>
                </c:pt>
                <c:pt idx="86">
                  <c:v>36288.659325512672</c:v>
                </c:pt>
                <c:pt idx="87">
                  <c:v>39917.525258063943</c:v>
                </c:pt>
                <c:pt idx="88">
                  <c:v>43909.27778387034</c:v>
                </c:pt>
                <c:pt idx="89">
                  <c:v>48300.205562257375</c:v>
                </c:pt>
                <c:pt idx="90">
                  <c:v>53130.226118483115</c:v>
                </c:pt>
                <c:pt idx="91">
                  <c:v>58443.248730331434</c:v>
                </c:pt>
                <c:pt idx="92">
                  <c:v>64287.573603364581</c:v>
                </c:pt>
                <c:pt idx="93">
                  <c:v>70716.330963701039</c:v>
                </c:pt>
                <c:pt idx="94">
                  <c:v>77787.964060071143</c:v>
                </c:pt>
                <c:pt idx="95">
                  <c:v>85566.760466078267</c:v>
                </c:pt>
                <c:pt idx="96">
                  <c:v>94123.436512686108</c:v>
                </c:pt>
                <c:pt idx="97">
                  <c:v>103535.78016395473</c:v>
                </c:pt>
                <c:pt idx="98">
                  <c:v>113889.3581803502</c:v>
                </c:pt>
                <c:pt idx="99">
                  <c:v>125278.29399838523</c:v>
                </c:pt>
                <c:pt idx="100">
                  <c:v>137806.12339822375</c:v>
                </c:pt>
                <c:pt idx="101">
                  <c:v>151586.73573804615</c:v>
                </c:pt>
                <c:pt idx="102">
                  <c:v>166745.40931185079</c:v>
                </c:pt>
                <c:pt idx="103">
                  <c:v>183419.95024303588</c:v>
                </c:pt>
                <c:pt idx="104">
                  <c:v>201761.9452673395</c:v>
                </c:pt>
                <c:pt idx="105">
                  <c:v>221938.13979407348</c:v>
                </c:pt>
                <c:pt idx="106">
                  <c:v>244131.95377348084</c:v>
                </c:pt>
                <c:pt idx="107">
                  <c:v>268545.14915082895</c:v>
                </c:pt>
                <c:pt idx="108">
                  <c:v>295399.66406591184</c:v>
                </c:pt>
                <c:pt idx="109">
                  <c:v>324939.63047250308</c:v>
                </c:pt>
                <c:pt idx="110">
                  <c:v>357433.59351975343</c:v>
                </c:pt>
                <c:pt idx="111">
                  <c:v>393176.9528717288</c:v>
                </c:pt>
                <c:pt idx="112">
                  <c:v>432494.64815890172</c:v>
                </c:pt>
                <c:pt idx="113">
                  <c:v>475744.1129747919</c:v>
                </c:pt>
                <c:pt idx="114">
                  <c:v>523318.52427227114</c:v>
                </c:pt>
                <c:pt idx="115">
                  <c:v>575650.37669949827</c:v>
                </c:pt>
                <c:pt idx="116">
                  <c:v>633215.4143694482</c:v>
                </c:pt>
                <c:pt idx="117">
                  <c:v>696536.95580639306</c:v>
                </c:pt>
                <c:pt idx="118">
                  <c:v>766190.65138703247</c:v>
                </c:pt>
                <c:pt idx="119">
                  <c:v>842809.7165257358</c:v>
                </c:pt>
                <c:pt idx="120">
                  <c:v>927090.68817830947</c:v>
                </c:pt>
                <c:pt idx="121">
                  <c:v>1019799.7569961405</c:v>
                </c:pt>
                <c:pt idx="122">
                  <c:v>1121779.7326957546</c:v>
                </c:pt>
                <c:pt idx="123">
                  <c:v>1233957.7059653301</c:v>
                </c:pt>
                <c:pt idx="124">
                  <c:v>1357353.4765618632</c:v>
                </c:pt>
                <c:pt idx="125">
                  <c:v>1493088.8242180496</c:v>
                </c:pt>
                <c:pt idx="126">
                  <c:v>1642397.7066398547</c:v>
                </c:pt>
                <c:pt idx="127">
                  <c:v>1806637.4773038402</c:v>
                </c:pt>
                <c:pt idx="128">
                  <c:v>1987301.2250342243</c:v>
                </c:pt>
                <c:pt idx="129">
                  <c:v>2186031.347537647</c:v>
                </c:pt>
                <c:pt idx="130">
                  <c:v>2404634.4822914121</c:v>
                </c:pt>
                <c:pt idx="131">
                  <c:v>2645097.9305205536</c:v>
                </c:pt>
                <c:pt idx="132">
                  <c:v>2909607.723572609</c:v>
                </c:pt>
                <c:pt idx="133">
                  <c:v>3200568.4959298703</c:v>
                </c:pt>
                <c:pt idx="134">
                  <c:v>3520625.3455228577</c:v>
                </c:pt>
                <c:pt idx="135">
                  <c:v>3872687.8800751437</c:v>
                </c:pt>
                <c:pt idx="136">
                  <c:v>4259956.6680826582</c:v>
                </c:pt>
                <c:pt idx="137">
                  <c:v>4685952.3348909244</c:v>
                </c:pt>
                <c:pt idx="138">
                  <c:v>5154547.5683800168</c:v>
                </c:pt>
                <c:pt idx="139">
                  <c:v>5670002.3252180191</c:v>
                </c:pt>
                <c:pt idx="140">
                  <c:v>6237002.5577398213</c:v>
                </c:pt>
                <c:pt idx="141">
                  <c:v>6860702.8135138042</c:v>
                </c:pt>
                <c:pt idx="142">
                  <c:v>7546773.0948651852</c:v>
                </c:pt>
                <c:pt idx="143">
                  <c:v>8301450.4043517048</c:v>
                </c:pt>
                <c:pt idx="144">
                  <c:v>9131595.4447868764</c:v>
                </c:pt>
                <c:pt idx="145">
                  <c:v>10044754.989265565</c:v>
                </c:pt>
                <c:pt idx="146">
                  <c:v>11049230.488192122</c:v>
                </c:pt>
                <c:pt idx="147">
                  <c:v>12154153.537011337</c:v>
                </c:pt>
                <c:pt idx="148">
                  <c:v>13369568.890712472</c:v>
                </c:pt>
                <c:pt idx="149">
                  <c:v>14706525.77978372</c:v>
                </c:pt>
                <c:pt idx="150">
                  <c:v>16177178.357762093</c:v>
                </c:pt>
                <c:pt idx="151">
                  <c:v>17794896.193538304</c:v>
                </c:pt>
                <c:pt idx="152">
                  <c:v>19574385.812892135</c:v>
                </c:pt>
                <c:pt idx="153">
                  <c:v>21531824.394181352</c:v>
                </c:pt>
                <c:pt idx="154">
                  <c:v>23685006.833599489</c:v>
                </c:pt>
                <c:pt idx="155">
                  <c:v>26053507.51695944</c:v>
                </c:pt>
                <c:pt idx="156">
                  <c:v>28658858.268655386</c:v>
                </c:pt>
                <c:pt idx="157">
                  <c:v>31524744.095520929</c:v>
                </c:pt>
                <c:pt idx="158">
                  <c:v>34677218.505073026</c:v>
                </c:pt>
                <c:pt idx="159">
                  <c:v>38144940.35558033</c:v>
                </c:pt>
                <c:pt idx="160">
                  <c:v>41959434.391138367</c:v>
                </c:pt>
                <c:pt idx="161">
                  <c:v>46155377.830252208</c:v>
                </c:pt>
                <c:pt idx="162">
                  <c:v>50770915.613277435</c:v>
                </c:pt>
                <c:pt idx="163">
                  <c:v>55848007.174605183</c:v>
                </c:pt>
                <c:pt idx="164">
                  <c:v>61432807.892065704</c:v>
                </c:pt>
                <c:pt idx="165">
                  <c:v>67576088.681272283</c:v>
                </c:pt>
                <c:pt idx="166">
                  <c:v>74333697.549399525</c:v>
                </c:pt>
                <c:pt idx="167">
                  <c:v>81767067.304339483</c:v>
                </c:pt>
                <c:pt idx="168">
                  <c:v>89943774.034773439</c:v>
                </c:pt>
                <c:pt idx="169">
                  <c:v>98938151.438250795</c:v>
                </c:pt>
                <c:pt idx="170">
                  <c:v>108831966.58207588</c:v>
                </c:pt>
                <c:pt idx="171">
                  <c:v>119715163.24028347</c:v>
                </c:pt>
                <c:pt idx="172">
                  <c:v>131686679.56431183</c:v>
                </c:pt>
                <c:pt idx="173">
                  <c:v>144855347.52074301</c:v>
                </c:pt>
                <c:pt idx="174">
                  <c:v>159340882.27281731</c:v>
                </c:pt>
                <c:pt idx="175">
                  <c:v>175274970.50009906</c:v>
                </c:pt>
                <c:pt idx="176">
                  <c:v>192802467.550109</c:v>
                </c:pt>
                <c:pt idx="177">
                  <c:v>212082714.3051199</c:v>
                </c:pt>
                <c:pt idx="178">
                  <c:v>233290985.73563191</c:v>
                </c:pt>
                <c:pt idx="179">
                  <c:v>256620084.30919513</c:v>
                </c:pt>
                <c:pt idx="180">
                  <c:v>282282092.74011469</c:v>
                </c:pt>
                <c:pt idx="181">
                  <c:v>310510302.01412618</c:v>
                </c:pt>
                <c:pt idx="182">
                  <c:v>341561332.2155388</c:v>
                </c:pt>
                <c:pt idx="183">
                  <c:v>375717465.43709272</c:v>
                </c:pt>
                <c:pt idx="184">
                  <c:v>413289211.980802</c:v>
                </c:pt>
                <c:pt idx="185">
                  <c:v>454618133.17888224</c:v>
                </c:pt>
                <c:pt idx="186">
                  <c:v>500079946.4967705</c:v>
                </c:pt>
                <c:pt idx="187">
                  <c:v>550087941.14644754</c:v>
                </c:pt>
                <c:pt idx="188">
                  <c:v>605096735.26109231</c:v>
                </c:pt>
                <c:pt idx="189">
                  <c:v>665606408.78720164</c:v>
                </c:pt>
                <c:pt idx="190">
                  <c:v>732167049.66592181</c:v>
                </c:pt>
                <c:pt idx="191">
                  <c:v>805383754.632514</c:v>
                </c:pt>
                <c:pt idx="192">
                  <c:v>885922130.09576547</c:v>
                </c:pt>
                <c:pt idx="193">
                  <c:v>974514343.10534215</c:v>
                </c:pt>
                <c:pt idx="194">
                  <c:v>1071965777.4158765</c:v>
                </c:pt>
                <c:pt idx="195">
                  <c:v>1179162355.1574643</c:v>
                </c:pt>
                <c:pt idx="196">
                  <c:v>1297078590.6732109</c:v>
                </c:pt>
                <c:pt idx="197">
                  <c:v>1426786449.7405322</c:v>
                </c:pt>
                <c:pt idx="198">
                  <c:v>1569465094.7145855</c:v>
                </c:pt>
                <c:pt idx="199">
                  <c:v>1726411604.1860442</c:v>
                </c:pt>
                <c:pt idx="200">
                  <c:v>1899052764.6046488</c:v>
                </c:pt>
                <c:pt idx="201">
                  <c:v>2088958041.0651138</c:v>
                </c:pt>
                <c:pt idx="202">
                  <c:v>2297853845.1716251</c:v>
                </c:pt>
                <c:pt idx="203">
                  <c:v>2527639229.6887879</c:v>
                </c:pt>
                <c:pt idx="204">
                  <c:v>2780403152.6576672</c:v>
                </c:pt>
                <c:pt idx="205">
                  <c:v>3058443467.9234343</c:v>
                </c:pt>
                <c:pt idx="206">
                  <c:v>3364287814.7157779</c:v>
                </c:pt>
                <c:pt idx="207">
                  <c:v>3700716596.187356</c:v>
                </c:pt>
                <c:pt idx="208">
                  <c:v>4070788255.8060918</c:v>
                </c:pt>
                <c:pt idx="209">
                  <c:v>4477867081.3867016</c:v>
                </c:pt>
                <c:pt idx="210">
                  <c:v>4925653789.5253725</c:v>
                </c:pt>
                <c:pt idx="211">
                  <c:v>5418219168.47791</c:v>
                </c:pt>
                <c:pt idx="212">
                  <c:v>5960041085.3257017</c:v>
                </c:pt>
                <c:pt idx="213">
                  <c:v>6556045193.8582726</c:v>
                </c:pt>
                <c:pt idx="214">
                  <c:v>7211649713.2441006</c:v>
                </c:pt>
                <c:pt idx="215">
                  <c:v>7932814684.568511</c:v>
                </c:pt>
                <c:pt idx="216">
                  <c:v>8726096153.025362</c:v>
                </c:pt>
                <c:pt idx="217">
                  <c:v>9598705768.3278999</c:v>
                </c:pt>
                <c:pt idx="218">
                  <c:v>10558576345.16069</c:v>
                </c:pt>
              </c:numCache>
            </c:numRef>
          </c:xVal>
          <c:yVal>
            <c:numRef>
              <c:f>Shielding!$F$50:$F$268</c:f>
              <c:numCache>
                <c:formatCode>0</c:formatCode>
                <c:ptCount val="219"/>
                <c:pt idx="0">
                  <c:v>123.16204734975233</c:v>
                </c:pt>
                <c:pt idx="1">
                  <c:v>123.16205220744791</c:v>
                </c:pt>
                <c:pt idx="2">
                  <c:v>123.16205741400017</c:v>
                </c:pt>
                <c:pt idx="3">
                  <c:v>123.16206299761237</c:v>
                </c:pt>
                <c:pt idx="4">
                  <c:v>123.16206898898163</c:v>
                </c:pt>
                <c:pt idx="5">
                  <c:v>123.16207542153275</c:v>
                </c:pt>
                <c:pt idx="6">
                  <c:v>123.16208233167427</c:v>
                </c:pt>
                <c:pt idx="7">
                  <c:v>123.16208975907929</c:v>
                </c:pt>
                <c:pt idx="8">
                  <c:v>123.16209774699348</c:v>
                </c:pt>
                <c:pt idx="9">
                  <c:v>123.16210634257311</c:v>
                </c:pt>
                <c:pt idx="10">
                  <c:v>123.16211559725593</c:v>
                </c:pt>
                <c:pt idx="11">
                  <c:v>123.16212556716802</c:v>
                </c:pt>
                <c:pt idx="12">
                  <c:v>123.16213631357067</c:v>
                </c:pt>
                <c:pt idx="13">
                  <c:v>123.16214790335019</c:v>
                </c:pt>
                <c:pt idx="14">
                  <c:v>123.16216040955632</c:v>
                </c:pt>
                <c:pt idx="15">
                  <c:v>123.16217391199261</c:v>
                </c:pt>
                <c:pt idx="16">
                  <c:v>123.16218849786519</c:v>
                </c:pt>
                <c:pt idx="17">
                  <c:v>123.16220426249438</c:v>
                </c:pt>
                <c:pt idx="18">
                  <c:v>123.16222131009698</c:v>
                </c:pt>
                <c:pt idx="19">
                  <c:v>123.16223975464465</c:v>
                </c:pt>
                <c:pt idx="20">
                  <c:v>123.16225972080667</c:v>
                </c:pt>
                <c:pt idx="21">
                  <c:v>123.16228134498573</c:v>
                </c:pt>
                <c:pt idx="22">
                  <c:v>123.16230477645547</c:v>
                </c:pt>
                <c:pt idx="23">
                  <c:v>123.16233017860961</c:v>
                </c:pt>
                <c:pt idx="24">
                  <c:v>123.16235773033497</c:v>
                </c:pt>
                <c:pt idx="25">
                  <c:v>123.16238762751914</c:v>
                </c:pt>
                <c:pt idx="26">
                  <c:v>123.16242008470698</c:v>
                </c:pt>
                <c:pt idx="27">
                  <c:v>123.162455336921</c:v>
                </c:pt>
                <c:pt idx="28">
                  <c:v>123.16249364166126</c:v>
                </c:pt>
                <c:pt idx="29">
                  <c:v>123.16253528110286</c:v>
                </c:pt>
                <c:pt idx="30">
                  <c:v>123.16258056451085</c:v>
                </c:pt>
                <c:pt idx="31">
                  <c:v>123.16262983089383</c:v>
                </c:pt>
                <c:pt idx="32">
                  <c:v>123.1626834519204</c:v>
                </c:pt>
                <c:pt idx="33">
                  <c:v>123.16274183512398</c:v>
                </c:pt>
                <c:pt idx="34">
                  <c:v>123.16280542742558</c:v>
                </c:pt>
                <c:pt idx="35">
                  <c:v>123.16287471900516</c:v>
                </c:pt>
                <c:pt idx="36">
                  <c:v>123.16295024755699</c:v>
                </c:pt>
                <c:pt idx="37">
                  <c:v>123.16303260296688</c:v>
                </c:pt>
                <c:pt idx="38">
                  <c:v>123.16312243245318</c:v>
                </c:pt>
                <c:pt idx="39">
                  <c:v>123.16322044621839</c:v>
                </c:pt>
                <c:pt idx="40">
                  <c:v>123.16332742366089</c:v>
                </c:pt>
                <c:pt idx="41">
                  <c:v>123.16344422020423</c:v>
                </c:pt>
                <c:pt idx="42">
                  <c:v>123.16357177480373</c:v>
                </c:pt>
                <c:pt idx="43">
                  <c:v>123.16371111819912</c:v>
                </c:pt>
                <c:pt idx="44">
                  <c:v>123.163863381987</c:v>
                </c:pt>
                <c:pt idx="45">
                  <c:v>123.16402980859459</c:v>
                </c:pt>
                <c:pt idx="46">
                  <c:v>123.16421176224439</c:v>
                </c:pt>
                <c:pt idx="47">
                  <c:v>123.16441074100935</c:v>
                </c:pt>
                <c:pt idx="48">
                  <c:v>123.16462839006525</c:v>
                </c:pt>
                <c:pt idx="49">
                  <c:v>123.16486651626171</c:v>
                </c:pt>
                <c:pt idx="50">
                  <c:v>123.16512710414064</c:v>
                </c:pt>
                <c:pt idx="51">
                  <c:v>123.16541233354826</c:v>
                </c:pt>
                <c:pt idx="52">
                  <c:v>123.16572459899746</c:v>
                </c:pt>
                <c:pt idx="53">
                  <c:v>123.16606653095585</c:v>
                </c:pt>
                <c:pt idx="54">
                  <c:v>123.16644101924983</c:v>
                </c:pt>
                <c:pt idx="55">
                  <c:v>123.16685123879594</c:v>
                </c:pt>
                <c:pt idx="56">
                  <c:v>123.16730067788961</c:v>
                </c:pt>
                <c:pt idx="57">
                  <c:v>123.16779316930629</c:v>
                </c:pt>
                <c:pt idx="58">
                  <c:v>123.16833292449294</c:v>
                </c:pt>
                <c:pt idx="59">
                  <c:v>123.16892457115765</c:v>
                </c:pt>
                <c:pt idx="60">
                  <c:v>123.16957319459272</c:v>
                </c:pt>
                <c:pt idx="61">
                  <c:v>123.1702843831026</c:v>
                </c:pt>
                <c:pt idx="62">
                  <c:v>123.17106427794155</c:v>
                </c:pt>
                <c:pt idx="63">
                  <c:v>123.17191962820799</c:v>
                </c:pt>
                <c:pt idx="64">
                  <c:v>123.17285785118477</c:v>
                </c:pt>
                <c:pt idx="65">
                  <c:v>123.17388709866295</c:v>
                </c:pt>
                <c:pt idx="66">
                  <c:v>123.175016329839</c:v>
                </c:pt>
                <c:pt idx="67">
                  <c:v>123.17625539143265</c:v>
                </c:pt>
                <c:pt idx="68">
                  <c:v>123.1776151057349</c:v>
                </c:pt>
                <c:pt idx="69">
                  <c:v>123.17910736736505</c:v>
                </c:pt>
                <c:pt idx="70">
                  <c:v>123.18074524959009</c:v>
                </c:pt>
                <c:pt idx="71">
                  <c:v>123.1825431211407</c:v>
                </c:pt>
                <c:pt idx="72">
                  <c:v>123.18451677454992</c:v>
                </c:pt>
                <c:pt idx="73">
                  <c:v>123.18668356713407</c:v>
                </c:pt>
                <c:pt idx="74">
                  <c:v>123.1890625758455</c:v>
                </c:pt>
                <c:pt idx="75">
                  <c:v>123.19167476733824</c:v>
                </c:pt>
                <c:pt idx="76">
                  <c:v>123.19454318471676</c:v>
                </c:pt>
                <c:pt idx="77">
                  <c:v>123.1976931525697</c:v>
                </c:pt>
                <c:pt idx="78">
                  <c:v>123.20115250204189</c:v>
                </c:pt>
                <c:pt idx="79">
                  <c:v>123.20495181785442</c:v>
                </c:pt>
                <c:pt idx="80">
                  <c:v>123.20912470935582</c:v>
                </c:pt>
                <c:pt idx="81">
                  <c:v>123.21370810787279</c:v>
                </c:pt>
                <c:pt idx="82">
                  <c:v>123.21874259282775</c:v>
                </c:pt>
                <c:pt idx="83">
                  <c:v>123.22427274930473</c:v>
                </c:pt>
                <c:pt idx="84">
                  <c:v>123.23034755997291</c:v>
                </c:pt>
                <c:pt idx="85">
                  <c:v>123.23702083452015</c:v>
                </c:pt>
                <c:pt idx="86">
                  <c:v>123.24435168000784</c:v>
                </c:pt>
                <c:pt idx="87">
                  <c:v>123.2524050158284</c:v>
                </c:pt>
                <c:pt idx="88">
                  <c:v>123.26125213723515</c:v>
                </c:pt>
                <c:pt idx="89">
                  <c:v>123.27097133170923</c:v>
                </c:pt>
                <c:pt idx="90">
                  <c:v>123.28164855273997</c:v>
                </c:pt>
                <c:pt idx="91">
                  <c:v>123.29337815590716</c:v>
                </c:pt>
                <c:pt idx="92">
                  <c:v>123.30626370247838</c:v>
                </c:pt>
                <c:pt idx="93">
                  <c:v>123.32041883605035</c:v>
                </c:pt>
                <c:pt idx="94">
                  <c:v>123.33596823808077</c:v>
                </c:pt>
                <c:pt idx="95">
                  <c:v>123.35304866845429</c:v>
                </c:pt>
                <c:pt idx="96">
                  <c:v>123.37181009750621</c:v>
                </c:pt>
                <c:pt idx="97">
                  <c:v>123.39241693616954</c:v>
                </c:pt>
                <c:pt idx="98">
                  <c:v>123.41504937110771</c:v>
                </c:pt>
                <c:pt idx="99">
                  <c:v>123.43990481182834</c:v>
                </c:pt>
                <c:pt idx="100">
                  <c:v>123.46719945682159</c:v>
                </c:pt>
                <c:pt idx="101">
                  <c:v>123.49716998571277</c:v>
                </c:pt>
                <c:pt idx="102">
                  <c:v>123.53007538423077</c:v>
                </c:pt>
                <c:pt idx="103">
                  <c:v>123.56619890844659</c:v>
                </c:pt>
                <c:pt idx="104">
                  <c:v>123.60585019419561</c:v>
                </c:pt>
                <c:pt idx="105">
                  <c:v>123.64936751682392</c:v>
                </c:pt>
                <c:pt idx="106">
                  <c:v>123.69712020535822</c:v>
                </c:pt>
                <c:pt idx="107">
                  <c:v>123.74951121384305</c:v>
                </c:pt>
                <c:pt idx="108">
                  <c:v>123.8069798508799</c:v>
                </c:pt>
                <c:pt idx="109">
                  <c:v>123.87000466629641</c:v>
                </c:pt>
                <c:pt idx="110">
                  <c:v>123.93910649132965</c:v>
                </c:pt>
                <c:pt idx="111">
                  <c:v>124.01485162569882</c:v>
                </c:pt>
                <c:pt idx="112">
                  <c:v>124.09785516144383</c:v>
                </c:pt>
                <c:pt idx="113">
                  <c:v>124.1887844294173</c:v>
                </c:pt>
                <c:pt idx="114">
                  <c:v>124.28836254985774</c:v>
                </c:pt>
                <c:pt idx="115">
                  <c:v>124.39737206359202</c:v>
                </c:pt>
                <c:pt idx="116">
                  <c:v>124.51665861520746</c:v>
                </c:pt>
                <c:pt idx="117">
                  <c:v>124.64713465413757</c:v>
                </c:pt>
                <c:pt idx="118">
                  <c:v>124.78978311421839</c:v>
                </c:pt>
                <c:pt idx="119">
                  <c:v>124.94566102715618</c:v>
                </c:pt>
                <c:pt idx="120">
                  <c:v>125.11590302083313</c:v>
                </c:pt>
                <c:pt idx="121">
                  <c:v>125.30172464986947</c:v>
                </c:pt>
                <c:pt idx="122">
                  <c:v>125.50442550381885</c:v>
                </c:pt>
                <c:pt idx="123">
                  <c:v>125.72539203832</c:v>
                </c:pt>
                <c:pt idx="124">
                  <c:v>125.96610007699292</c:v>
                </c:pt>
                <c:pt idx="125">
                  <c:v>126.22811693738279</c:v>
                </c:pt>
                <c:pt idx="126">
                  <c:v>126.51310314327426</c:v>
                </c:pt>
                <c:pt idx="127">
                  <c:v>126.82281369855947</c:v>
                </c:pt>
                <c:pt idx="128">
                  <c:v>127.15909891467361</c:v>
                </c:pt>
                <c:pt idx="129">
                  <c:v>127.52390480427465</c:v>
                </c:pt>
                <c:pt idx="130">
                  <c:v>127.91927307785525</c:v>
                </c:pt>
                <c:pt idx="131">
                  <c:v>128.34734080645583</c:v>
                </c:pt>
                <c:pt idx="132">
                  <c:v>128.81033984131344</c:v>
                </c:pt>
                <c:pt idx="133">
                  <c:v>129.31059610844866</c:v>
                </c:pt>
                <c:pt idx="134">
                  <c:v>129.85052892087981</c:v>
                </c:pt>
                <c:pt idx="135">
                  <c:v>130.4326504712032</c:v>
                </c:pt>
                <c:pt idx="136">
                  <c:v>131.05956568056436</c:v>
                </c:pt>
                <c:pt idx="137">
                  <c:v>131.73397258471019</c:v>
                </c:pt>
                <c:pt idx="138">
                  <c:v>132.45866343251839</c:v>
                </c:pt>
                <c:pt idx="139">
                  <c:v>133.23652665657696</c:v>
                </c:pt>
                <c:pt idx="140">
                  <c:v>134.07054984939151</c:v>
                </c:pt>
                <c:pt idx="141">
                  <c:v>134.9638238440221</c:v>
                </c:pt>
                <c:pt idx="142">
                  <c:v>135.91954795674377</c:v>
                </c:pt>
                <c:pt idx="143">
                  <c:v>136.94103640484883</c:v>
                </c:pt>
                <c:pt idx="144">
                  <c:v>138.03172586859506</c:v>
                </c:pt>
                <c:pt idx="145">
                  <c:v>139.19518412628983</c:v>
                </c:pt>
                <c:pt idx="146">
                  <c:v>140.43511965896553</c:v>
                </c:pt>
                <c:pt idx="147">
                  <c:v>141.75539209868376</c:v>
                </c:pt>
                <c:pt idx="148">
                  <c:v>143.16002338376538</c:v>
                </c:pt>
                <c:pt idx="149">
                  <c:v>144.65320948550118</c:v>
                </c:pt>
                <c:pt idx="150">
                  <c:v>146.23933258322327</c:v>
                </c:pt>
                <c:pt idx="151">
                  <c:v>147.9229735860005</c:v>
                </c:pt>
                <c:pt idx="152">
                  <c:v>149.70892492687278</c:v>
                </c:pt>
                <c:pt idx="153">
                  <c:v>151.60220358629647</c:v>
                </c:pt>
                <c:pt idx="154">
                  <c:v>153.60806433221882</c:v>
                </c:pt>
                <c:pt idx="155">
                  <c:v>155.73201319223972</c:v>
                </c:pt>
                <c:pt idx="156">
                  <c:v>157.9798211966731</c:v>
                </c:pt>
                <c:pt idx="157">
                  <c:v>160.35753844885701</c:v>
                </c:pt>
                <c:pt idx="158">
                  <c:v>162.87150859052707</c:v>
                </c:pt>
                <c:pt idx="159">
                  <c:v>165.52838373592965</c:v>
                </c:pt>
                <c:pt idx="160">
                  <c:v>168.33513994964014</c:v>
                </c:pt>
                <c:pt idx="161">
                  <c:v>171.2990933410519</c:v>
                </c:pt>
                <c:pt idx="162">
                  <c:v>174.42791684457129</c:v>
                </c:pt>
                <c:pt idx="163">
                  <c:v>177.72965774988342</c:v>
                </c:pt>
                <c:pt idx="164">
                  <c:v>181.21275604217416</c:v>
                </c:pt>
                <c:pt idx="165">
                  <c:v>184.88606360851711</c:v>
                </c:pt>
                <c:pt idx="166">
                  <c:v>188.75886436407367</c:v>
                </c:pt>
                <c:pt idx="167">
                  <c:v>192.84089535038311</c:v>
                </c:pt>
                <c:pt idx="168">
                  <c:v>197.14236885774858</c:v>
                </c:pt>
                <c:pt idx="169">
                  <c:v>201.67399562438274</c:v>
                </c:pt>
                <c:pt idx="170">
                  <c:v>206.44700916636066</c:v>
                </c:pt>
                <c:pt idx="171">
                  <c:v>211.4731912943659</c:v>
                </c:pt>
                <c:pt idx="172">
                  <c:v>216.76489887554993</c:v>
                </c:pt>
                <c:pt idx="173">
                  <c:v>222.3350919014668</c:v>
                </c:pt>
                <c:pt idx="174">
                  <c:v>228.19736292591358</c:v>
                </c:pt>
                <c:pt idx="175">
                  <c:v>234.36596793957648</c:v>
                </c:pt>
                <c:pt idx="176">
                  <c:v>240.85585875162516</c:v>
                </c:pt>
                <c:pt idx="177">
                  <c:v>247.68271695181227</c:v>
                </c:pt>
                <c:pt idx="178">
                  <c:v>254.86298953022401</c:v>
                </c:pt>
                <c:pt idx="179">
                  <c:v>262.41392623558806</c:v>
                </c:pt>
                <c:pt idx="180">
                  <c:v>270.3536187569992</c:v>
                </c:pt>
                <c:pt idx="181">
                  <c:v>278.70104181805789</c:v>
                </c:pt>
                <c:pt idx="182">
                  <c:v>287.47609627676837</c:v>
                </c:pt>
                <c:pt idx="183">
                  <c:v>296.69965432909117</c:v>
                </c:pt>
                <c:pt idx="184">
                  <c:v>306.39360691883087</c:v>
                </c:pt>
                <c:pt idx="185">
                  <c:v>316.58091346154424</c:v>
                </c:pt>
                <c:pt idx="186">
                  <c:v>327.28565399541611</c:v>
                </c:pt>
                <c:pt idx="187">
                  <c:v>338.53308387755902</c:v>
                </c:pt>
                <c:pt idx="188">
                  <c:v>350.34969114997631</c:v>
                </c:pt>
                <c:pt idx="189">
                  <c:v>362.76325670549176</c:v>
                </c:pt>
                <c:pt idx="190">
                  <c:v>375.80291739030895</c:v>
                </c:pt>
                <c:pt idx="191">
                  <c:v>389.49923218653419</c:v>
                </c:pt>
                <c:pt idx="192">
                  <c:v>403.88425162499141</c:v>
                </c:pt>
                <c:pt idx="193">
                  <c:v>418.9915905859973</c:v>
                </c:pt>
                <c:pt idx="194">
                  <c:v>434.8565046534585</c:v>
                </c:pt>
                <c:pt idx="195">
                  <c:v>451.5159701957233</c:v>
                </c:pt>
                <c:pt idx="196">
                  <c:v>469.0087683550887</c:v>
                </c:pt>
                <c:pt idx="197">
                  <c:v>487.3755731367383</c:v>
                </c:pt>
                <c:pt idx="198">
                  <c:v>506.65904379719848</c:v>
                </c:pt>
                <c:pt idx="199">
                  <c:v>526.90392174217118</c:v>
                </c:pt>
                <c:pt idx="200">
                  <c:v>548.15713215383573</c:v>
                </c:pt>
                <c:pt idx="201">
                  <c:v>570.46789057846377</c:v>
                </c:pt>
                <c:pt idx="202">
                  <c:v>593.88781471645291</c:v>
                </c:pt>
                <c:pt idx="203">
                  <c:v>618.47104166870224</c:v>
                </c:pt>
                <c:pt idx="204">
                  <c:v>644.27435090564859</c:v>
                </c:pt>
                <c:pt idx="205">
                  <c:v>671.35729323828093</c:v>
                </c:pt>
                <c:pt idx="206">
                  <c:v>699.78232608408018</c:v>
                </c:pt>
                <c:pt idx="207">
                  <c:v>729.61495533513391</c:v>
                </c:pt>
                <c:pt idx="208">
                  <c:v>760.92388415067114</c:v>
                </c:pt>
                <c:pt idx="209">
                  <c:v>793.78116901198848</c:v>
                </c:pt>
                <c:pt idx="210">
                  <c:v>828.26238339423787</c:v>
                </c:pt>
                <c:pt idx="211">
                  <c:v>864.4467894268455</c:v>
                </c:pt>
                <c:pt idx="212">
                  <c:v>902.41751793247784</c:v>
                </c:pt>
                <c:pt idx="213">
                  <c:v>942.26175725350413</c:v>
                </c:pt>
                <c:pt idx="214">
                  <c:v>984.07095129485822</c:v>
                </c:pt>
                <c:pt idx="215">
                  <c:v>1027.9410072331452</c:v>
                </c:pt>
                <c:pt idx="216">
                  <c:v>1073.972513363793</c:v>
                </c:pt>
                <c:pt idx="217">
                  <c:v>1122.270967581067</c:v>
                </c:pt>
                <c:pt idx="218">
                  <c:v>1172.9470170099376</c:v>
                </c:pt>
              </c:numCache>
            </c:numRef>
          </c:yVal>
          <c:smooth val="1"/>
          <c:extLst>
            <c:ext xmlns:c16="http://schemas.microsoft.com/office/drawing/2014/chart" uri="{C3380CC4-5D6E-409C-BE32-E72D297353CC}">
              <c16:uniqueId val="{00000003-74B4-4EBC-BEA6-4616C73D3315}"/>
            </c:ext>
          </c:extLst>
        </c:ser>
        <c:dLbls>
          <c:showLegendKey val="0"/>
          <c:showVal val="0"/>
          <c:showCatName val="0"/>
          <c:showSerName val="0"/>
          <c:showPercent val="0"/>
          <c:showBubbleSize val="0"/>
        </c:dLbls>
        <c:axId val="914680904"/>
        <c:axId val="914682872"/>
      </c:scatterChart>
      <c:valAx>
        <c:axId val="914680904"/>
        <c:scaling>
          <c:logBase val="10"/>
          <c:orientation val="minMax"/>
          <c:max val="10000000000"/>
          <c:min val="10"/>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none" baseline="0">
                    <a:solidFill>
                      <a:sysClr val="windowText" lastClr="000000"/>
                    </a:solidFill>
                    <a:latin typeface="+mn-lt"/>
                    <a:ea typeface="+mn-ea"/>
                    <a:cs typeface="+mn-cs"/>
                  </a:defRPr>
                </a:pPr>
                <a:r>
                  <a:rPr lang="en-US" cap="none" baseline="0">
                    <a:solidFill>
                      <a:sysClr val="windowText" lastClr="000000"/>
                    </a:solidFill>
                  </a:rPr>
                  <a:t>Frequency f [Hz]</a:t>
                </a:r>
              </a:p>
            </c:rich>
          </c:tx>
          <c:layout>
            <c:manualLayout>
              <c:xMode val="edge"/>
              <c:yMode val="edge"/>
              <c:x val="0.42254315635782591"/>
              <c:y val="0.93580542371838527"/>
            </c:manualLayout>
          </c:layout>
          <c:overlay val="0"/>
          <c:spPr>
            <a:noFill/>
            <a:ln>
              <a:noFill/>
            </a:ln>
            <a:effectLst/>
          </c:spPr>
          <c:txPr>
            <a:bodyPr rot="0" spcFirstLastPara="1" vertOverflow="ellipsis" vert="horz" wrap="square" anchor="ctr" anchorCtr="1"/>
            <a:lstStyle/>
            <a:p>
              <a:pPr>
                <a:defRPr sz="900" b="0" i="0" u="none" strike="noStrike" kern="1200" cap="none" baseline="0">
                  <a:solidFill>
                    <a:sysClr val="windowText" lastClr="000000"/>
                  </a:solidFill>
                  <a:latin typeface="+mn-lt"/>
                  <a:ea typeface="+mn-ea"/>
                  <a:cs typeface="+mn-cs"/>
                </a:defRPr>
              </a:pPr>
              <a:endParaRPr lang="en-US"/>
            </a:p>
          </c:txPr>
        </c:title>
        <c:numFmt formatCode="0.E+00" sourceLinked="0"/>
        <c:majorTickMark val="none"/>
        <c:minorTickMark val="none"/>
        <c:tickLblPos val="nextTo"/>
        <c:crossAx val="914682872"/>
        <c:crosses val="autoZero"/>
        <c:crossBetween val="midCat"/>
      </c:valAx>
      <c:valAx>
        <c:axId val="914682872"/>
        <c:scaling>
          <c:orientation val="minMax"/>
          <c:max val="30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none" baseline="0">
                    <a:solidFill>
                      <a:sysClr val="windowText" lastClr="000000"/>
                    </a:solidFill>
                    <a:latin typeface="Helvetica" panose="020B0604020202020204" pitchFamily="34" charset="0"/>
                    <a:ea typeface="+mn-ea"/>
                    <a:cs typeface="Helvetica" panose="020B0604020202020204" pitchFamily="34" charset="0"/>
                  </a:defRPr>
                </a:pPr>
                <a:r>
                  <a:rPr lang="en-US" cap="none" baseline="0">
                    <a:solidFill>
                      <a:sysClr val="windowText" lastClr="000000"/>
                    </a:solidFill>
                    <a:latin typeface="Helvetica" panose="020B0604020202020204" pitchFamily="34" charset="0"/>
                    <a:cs typeface="Helvetica" panose="020B0604020202020204" pitchFamily="34" charset="0"/>
                  </a:rPr>
                  <a:t>Shielding Effectiveness [dB]</a:t>
                </a:r>
              </a:p>
            </c:rich>
          </c:tx>
          <c:overlay val="0"/>
          <c:spPr>
            <a:noFill/>
            <a:ln>
              <a:noFill/>
            </a:ln>
            <a:effectLst/>
          </c:spPr>
          <c:txPr>
            <a:bodyPr rot="-5400000" spcFirstLastPara="1" vertOverflow="ellipsis" vert="horz" wrap="square" anchor="ctr" anchorCtr="1"/>
            <a:lstStyle/>
            <a:p>
              <a:pPr>
                <a:defRPr sz="900" b="0" i="0" u="none" strike="noStrike" kern="1200" cap="none"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0" sourceLinked="0"/>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14680904"/>
        <c:crosses val="autoZero"/>
        <c:crossBetween val="midCat"/>
      </c:valAx>
      <c:spPr>
        <a:noFill/>
        <a:ln>
          <a:noFill/>
        </a:ln>
        <a:effectLst/>
      </c:spPr>
    </c:plotArea>
    <c:legend>
      <c:legendPos val="t"/>
      <c:layout>
        <c:manualLayout>
          <c:xMode val="edge"/>
          <c:yMode val="edge"/>
          <c:x val="0.11658175063689061"/>
          <c:y val="0.17493031192570052"/>
          <c:w val="0.39209507378345221"/>
          <c:h val="0.2098044743540298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6.png"/><Relationship Id="rId4"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8.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14.png"/><Relationship Id="rId7" Type="http://schemas.openxmlformats.org/officeDocument/2006/relationships/image" Target="../media/image17.png"/><Relationship Id="rId2" Type="http://schemas.openxmlformats.org/officeDocument/2006/relationships/image" Target="../media/image13.png"/><Relationship Id="rId1" Type="http://schemas.openxmlformats.org/officeDocument/2006/relationships/image" Target="../media/image6.png"/><Relationship Id="rId6" Type="http://schemas.openxmlformats.org/officeDocument/2006/relationships/chart" Target="../charts/chart2.xml"/><Relationship Id="rId5" Type="http://schemas.openxmlformats.org/officeDocument/2006/relationships/image" Target="../media/image16.png"/><Relationship Id="rId4" Type="http://schemas.openxmlformats.org/officeDocument/2006/relationships/image" Target="../media/image15.png"/><Relationship Id="rId9"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9</xdr:col>
      <xdr:colOff>208659</xdr:colOff>
      <xdr:row>0</xdr:row>
      <xdr:rowOff>0</xdr:rowOff>
    </xdr:from>
    <xdr:to>
      <xdr:col>10</xdr:col>
      <xdr:colOff>559841</xdr:colOff>
      <xdr:row>5</xdr:row>
      <xdr:rowOff>44726</xdr:rowOff>
    </xdr:to>
    <xdr:pic>
      <xdr:nvPicPr>
        <xdr:cNvPr id="5" name="Grafik 4">
          <a:extLst>
            <a:ext uri="{FF2B5EF4-FFF2-40B4-BE49-F238E27FC236}">
              <a16:creationId xmlns:a16="http://schemas.microsoft.com/office/drawing/2014/main" id="{35AD80FC-CFC5-4F6D-831B-0A03C9A8A9CE}"/>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49724" y="0"/>
          <a:ext cx="914400" cy="9144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0.08754</cdr:x>
      <cdr:y>0.89677</cdr:y>
    </cdr:from>
    <cdr:to>
      <cdr:x>0.96225</cdr:x>
      <cdr:y>0.95262</cdr:y>
    </cdr:to>
    <cdr:sp macro="" textlink="">
      <cdr:nvSpPr>
        <cdr:cNvPr id="3" name="TextBox 1">
          <a:extLst xmlns:a="http://schemas.openxmlformats.org/drawingml/2006/main">
            <a:ext uri="{FF2B5EF4-FFF2-40B4-BE49-F238E27FC236}">
              <a16:creationId xmlns:a16="http://schemas.microsoft.com/office/drawing/2014/main" id="{4AF06FF8-41F6-4933-BF6B-B395C7D599EF}"/>
            </a:ext>
          </a:extLst>
        </cdr:cNvPr>
        <cdr:cNvSpPr txBox="1"/>
      </cdr:nvSpPr>
      <cdr:spPr>
        <a:xfrm xmlns:a="http://schemas.openxmlformats.org/drawingml/2006/main">
          <a:off x="724423" y="3715756"/>
          <a:ext cx="7238478" cy="231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baseline="0">
              <a:solidFill>
                <a:schemeClr val="tx1">
                  <a:lumMod val="65000"/>
                  <a:lumOff val="35000"/>
                </a:schemeClr>
              </a:solidFill>
            </a:rPr>
            <a:t>10              100                 1kHz               10kHz             100kHz            1MHz           10MHz         100MHz           1GHz             10GHz             100GHz</a:t>
          </a:r>
        </a:p>
      </cdr:txBody>
    </cdr:sp>
  </cdr:relSizeAnchor>
</c:userShapes>
</file>

<file path=xl/drawings/drawing11.xml><?xml version="1.0" encoding="utf-8"?>
<c:userShapes xmlns:c="http://schemas.openxmlformats.org/drawingml/2006/chart">
  <cdr:relSizeAnchor xmlns:cdr="http://schemas.openxmlformats.org/drawingml/2006/chartDrawing">
    <cdr:from>
      <cdr:x>0.08754</cdr:x>
      <cdr:y>0.89677</cdr:y>
    </cdr:from>
    <cdr:to>
      <cdr:x>0.9782</cdr:x>
      <cdr:y>0.95297</cdr:y>
    </cdr:to>
    <cdr:sp macro="" textlink="">
      <cdr:nvSpPr>
        <cdr:cNvPr id="3" name="TextBox 1">
          <a:extLst xmlns:a="http://schemas.openxmlformats.org/drawingml/2006/main">
            <a:ext uri="{FF2B5EF4-FFF2-40B4-BE49-F238E27FC236}">
              <a16:creationId xmlns:a16="http://schemas.microsoft.com/office/drawing/2014/main" id="{4AF06FF8-41F6-4933-BF6B-B395C7D599EF}"/>
            </a:ext>
          </a:extLst>
        </cdr:cNvPr>
        <cdr:cNvSpPr txBox="1"/>
      </cdr:nvSpPr>
      <cdr:spPr>
        <a:xfrm xmlns:a="http://schemas.openxmlformats.org/drawingml/2006/main">
          <a:off x="675527" y="3772868"/>
          <a:ext cx="6872989" cy="2364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baseline="0">
              <a:solidFill>
                <a:schemeClr val="tx1">
                  <a:lumMod val="65000"/>
                  <a:lumOff val="35000"/>
                </a:schemeClr>
              </a:solidFill>
            </a:rPr>
            <a:t>10              100                  1kHz               10kHz            100kHz          1MHz           10MHz           100MHz           1GHz             10GHz            100GHz</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12</xdr:col>
      <xdr:colOff>219283</xdr:colOff>
      <xdr:row>0</xdr:row>
      <xdr:rowOff>0</xdr:rowOff>
    </xdr:from>
    <xdr:to>
      <xdr:col>12</xdr:col>
      <xdr:colOff>1096506</xdr:colOff>
      <xdr:row>4</xdr:row>
      <xdr:rowOff>142970</xdr:rowOff>
    </xdr:to>
    <xdr:pic>
      <xdr:nvPicPr>
        <xdr:cNvPr id="2" name="Grafik 3">
          <a:extLst>
            <a:ext uri="{FF2B5EF4-FFF2-40B4-BE49-F238E27FC236}">
              <a16:creationId xmlns:a16="http://schemas.microsoft.com/office/drawing/2014/main" id="{6F490E47-DE52-4314-9ECD-810B834B0FB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783" y="0"/>
          <a:ext cx="896273" cy="904970"/>
        </a:xfrm>
        <a:prstGeom prst="rect">
          <a:avLst/>
        </a:prstGeom>
      </xdr:spPr>
    </xdr:pic>
    <xdr:clientData/>
  </xdr:twoCellAnchor>
  <xdr:twoCellAnchor editAs="oneCell">
    <xdr:from>
      <xdr:col>7</xdr:col>
      <xdr:colOff>28575</xdr:colOff>
      <xdr:row>11</xdr:row>
      <xdr:rowOff>38100</xdr:rowOff>
    </xdr:from>
    <xdr:to>
      <xdr:col>12</xdr:col>
      <xdr:colOff>923925</xdr:colOff>
      <xdr:row>21</xdr:row>
      <xdr:rowOff>125767</xdr:rowOff>
    </xdr:to>
    <xdr:pic>
      <xdr:nvPicPr>
        <xdr:cNvPr id="4" name="Picture 3">
          <a:extLst>
            <a:ext uri="{FF2B5EF4-FFF2-40B4-BE49-F238E27FC236}">
              <a16:creationId xmlns:a16="http://schemas.microsoft.com/office/drawing/2014/main" id="{652EE574-8F38-16A8-66E2-3AEC2F458F65}"/>
            </a:ext>
          </a:extLst>
        </xdr:cNvPr>
        <xdr:cNvPicPr>
          <a:picLocks noChangeAspect="1"/>
        </xdr:cNvPicPr>
      </xdr:nvPicPr>
      <xdr:blipFill>
        <a:blip xmlns:r="http://schemas.openxmlformats.org/officeDocument/2006/relationships" r:embed="rId2"/>
        <a:stretch>
          <a:fillRect/>
        </a:stretch>
      </xdr:blipFill>
      <xdr:spPr>
        <a:xfrm>
          <a:off x="5857875" y="2457450"/>
          <a:ext cx="3638550" cy="2040292"/>
        </a:xfrm>
        <a:prstGeom prst="rect">
          <a:avLst/>
        </a:prstGeom>
      </xdr:spPr>
    </xdr:pic>
    <xdr:clientData/>
  </xdr:twoCellAnchor>
  <xdr:twoCellAnchor editAs="oneCell">
    <xdr:from>
      <xdr:col>3</xdr:col>
      <xdr:colOff>113422</xdr:colOff>
      <xdr:row>11</xdr:row>
      <xdr:rowOff>28574</xdr:rowOff>
    </xdr:from>
    <xdr:to>
      <xdr:col>7</xdr:col>
      <xdr:colOff>20759</xdr:colOff>
      <xdr:row>21</xdr:row>
      <xdr:rowOff>104774</xdr:rowOff>
    </xdr:to>
    <xdr:pic>
      <xdr:nvPicPr>
        <xdr:cNvPr id="13" name="Picture 12">
          <a:extLst>
            <a:ext uri="{FF2B5EF4-FFF2-40B4-BE49-F238E27FC236}">
              <a16:creationId xmlns:a16="http://schemas.microsoft.com/office/drawing/2014/main" id="{E8D10259-C068-F005-2DB0-BB31A95A38CB}"/>
            </a:ext>
          </a:extLst>
        </xdr:cNvPr>
        <xdr:cNvPicPr>
          <a:picLocks noChangeAspect="1"/>
        </xdr:cNvPicPr>
      </xdr:nvPicPr>
      <xdr:blipFill>
        <a:blip xmlns:r="http://schemas.openxmlformats.org/officeDocument/2006/relationships" r:embed="rId3"/>
        <a:stretch>
          <a:fillRect/>
        </a:stretch>
      </xdr:blipFill>
      <xdr:spPr>
        <a:xfrm>
          <a:off x="3113797" y="2447924"/>
          <a:ext cx="2736262" cy="2028825"/>
        </a:xfrm>
        <a:prstGeom prst="rect">
          <a:avLst/>
        </a:prstGeom>
      </xdr:spPr>
    </xdr:pic>
    <xdr:clientData/>
  </xdr:twoCellAnchor>
  <xdr:twoCellAnchor>
    <xdr:from>
      <xdr:col>0</xdr:col>
      <xdr:colOff>1</xdr:colOff>
      <xdr:row>27</xdr:row>
      <xdr:rowOff>9524</xdr:rowOff>
    </xdr:from>
    <xdr:to>
      <xdr:col>8</xdr:col>
      <xdr:colOff>19050</xdr:colOff>
      <xdr:row>45</xdr:row>
      <xdr:rowOff>9525</xdr:rowOff>
    </xdr:to>
    <xdr:graphicFrame macro="">
      <xdr:nvGraphicFramePr>
        <xdr:cNvPr id="14" name="Diagramm 1">
          <a:extLst>
            <a:ext uri="{FF2B5EF4-FFF2-40B4-BE49-F238E27FC236}">
              <a16:creationId xmlns:a16="http://schemas.microsoft.com/office/drawing/2014/main" id="{F09F5F0E-9C31-4442-9B02-419137A44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0.07525</cdr:x>
      <cdr:y>0.88188</cdr:y>
    </cdr:from>
    <cdr:to>
      <cdr:x>0.98643</cdr:x>
      <cdr:y>0.92708</cdr:y>
    </cdr:to>
    <cdr:sp macro="" textlink="">
      <cdr:nvSpPr>
        <cdr:cNvPr id="3" name="Textfeld 1">
          <a:extLst xmlns:a="http://schemas.openxmlformats.org/drawingml/2006/main">
            <a:ext uri="{FF2B5EF4-FFF2-40B4-BE49-F238E27FC236}">
              <a16:creationId xmlns:a16="http://schemas.microsoft.com/office/drawing/2014/main" id="{42C576A6-5433-476A-9F4B-46261ABE6A79}"/>
            </a:ext>
          </a:extLst>
        </cdr:cNvPr>
        <cdr:cNvSpPr txBox="1"/>
      </cdr:nvSpPr>
      <cdr:spPr>
        <a:xfrm xmlns:a="http://schemas.openxmlformats.org/drawingml/2006/main">
          <a:off x="468032" y="3611973"/>
          <a:ext cx="5667378" cy="18512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tx1"/>
              </a:solidFill>
              <a:latin typeface="Helvetica" panose="020B0604020202020204" pitchFamily="34" charset="0"/>
              <a:cs typeface="Helvetica" panose="020B0604020202020204" pitchFamily="34" charset="0"/>
            </a:rPr>
            <a:t>10Hz          100Hz         1kHz         10kHz         100kHz          1</a:t>
          </a:r>
          <a:r>
            <a:rPr lang="en-US" sz="900" baseline="0">
              <a:solidFill>
                <a:schemeClr val="tx1"/>
              </a:solidFill>
              <a:latin typeface="Helvetica" panose="020B0604020202020204" pitchFamily="34" charset="0"/>
              <a:cs typeface="Helvetica" panose="020B0604020202020204" pitchFamily="34" charset="0"/>
            </a:rPr>
            <a:t>MHz           10MHz        100MHz       1GHz         10GHz</a:t>
          </a:r>
          <a:endParaRPr lang="en-US" sz="900">
            <a:solidFill>
              <a:schemeClr val="tx1"/>
            </a:solidFill>
            <a:latin typeface="Helvetica" panose="020B0604020202020204" pitchFamily="34" charset="0"/>
            <a:cs typeface="Helvetica"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7</xdr:col>
      <xdr:colOff>519793</xdr:colOff>
      <xdr:row>3</xdr:row>
      <xdr:rowOff>62593</xdr:rowOff>
    </xdr:from>
    <xdr:to>
      <xdr:col>7</xdr:col>
      <xdr:colOff>1343025</xdr:colOff>
      <xdr:row>8</xdr:row>
      <xdr:rowOff>24493</xdr:rowOff>
    </xdr:to>
    <xdr:pic>
      <xdr:nvPicPr>
        <xdr:cNvPr id="2" name="Grafik 3">
          <a:extLst>
            <a:ext uri="{FF2B5EF4-FFF2-40B4-BE49-F238E27FC236}">
              <a16:creationId xmlns:a16="http://schemas.microsoft.com/office/drawing/2014/main" id="{B72A23F1-FD1C-4A80-9F2F-B6D29EA27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093" y="576943"/>
          <a:ext cx="823232" cy="8191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1104900</xdr:colOff>
      <xdr:row>0</xdr:row>
      <xdr:rowOff>0</xdr:rowOff>
    </xdr:from>
    <xdr:to>
      <xdr:col>5</xdr:col>
      <xdr:colOff>1981720</xdr:colOff>
      <xdr:row>5</xdr:row>
      <xdr:rowOff>3803</xdr:rowOff>
    </xdr:to>
    <xdr:pic>
      <xdr:nvPicPr>
        <xdr:cNvPr id="2" name="Grafik 3">
          <a:extLst>
            <a:ext uri="{FF2B5EF4-FFF2-40B4-BE49-F238E27FC236}">
              <a16:creationId xmlns:a16="http://schemas.microsoft.com/office/drawing/2014/main" id="{64B8E189-F976-4329-875C-ACAE66569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7875" y="0"/>
          <a:ext cx="876820" cy="861053"/>
        </a:xfrm>
        <a:prstGeom prst="rect">
          <a:avLst/>
        </a:prstGeom>
      </xdr:spPr>
    </xdr:pic>
    <xdr:clientData/>
  </xdr:twoCellAnchor>
  <xdr:twoCellAnchor editAs="oneCell">
    <xdr:from>
      <xdr:col>0</xdr:col>
      <xdr:colOff>9525</xdr:colOff>
      <xdr:row>54</xdr:row>
      <xdr:rowOff>28576</xdr:rowOff>
    </xdr:from>
    <xdr:to>
      <xdr:col>5</xdr:col>
      <xdr:colOff>695325</xdr:colOff>
      <xdr:row>68</xdr:row>
      <xdr:rowOff>23695</xdr:rowOff>
    </xdr:to>
    <xdr:pic>
      <xdr:nvPicPr>
        <xdr:cNvPr id="4" name="Picture 3">
          <a:extLst>
            <a:ext uri="{FF2B5EF4-FFF2-40B4-BE49-F238E27FC236}">
              <a16:creationId xmlns:a16="http://schemas.microsoft.com/office/drawing/2014/main" id="{38AE4A73-BDC3-45B9-9BBF-C320293C7C05}"/>
            </a:ext>
          </a:extLst>
        </xdr:cNvPr>
        <xdr:cNvPicPr>
          <a:picLocks noChangeAspect="1"/>
        </xdr:cNvPicPr>
      </xdr:nvPicPr>
      <xdr:blipFill>
        <a:blip xmlns:r="http://schemas.openxmlformats.org/officeDocument/2006/relationships" r:embed="rId2"/>
        <a:stretch>
          <a:fillRect/>
        </a:stretch>
      </xdr:blipFill>
      <xdr:spPr>
        <a:xfrm>
          <a:off x="9525" y="8924926"/>
          <a:ext cx="9248775" cy="23954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481693</xdr:colOff>
      <xdr:row>0</xdr:row>
      <xdr:rowOff>81643</xdr:rowOff>
    </xdr:from>
    <xdr:to>
      <xdr:col>12</xdr:col>
      <xdr:colOff>634093</xdr:colOff>
      <xdr:row>5</xdr:row>
      <xdr:rowOff>138793</xdr:rowOff>
    </xdr:to>
    <xdr:pic>
      <xdr:nvPicPr>
        <xdr:cNvPr id="4" name="Grafik 3">
          <a:extLst>
            <a:ext uri="{FF2B5EF4-FFF2-40B4-BE49-F238E27FC236}">
              <a16:creationId xmlns:a16="http://schemas.microsoft.com/office/drawing/2014/main" id="{EAFB6FF5-76D7-4B56-A266-322447826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8243" y="81643"/>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209655</xdr:colOff>
      <xdr:row>0</xdr:row>
      <xdr:rowOff>0</xdr:rowOff>
    </xdr:from>
    <xdr:to>
      <xdr:col>15</xdr:col>
      <xdr:colOff>105</xdr:colOff>
      <xdr:row>6</xdr:row>
      <xdr:rowOff>19050</xdr:rowOff>
    </xdr:to>
    <xdr:pic>
      <xdr:nvPicPr>
        <xdr:cNvPr id="3" name="Grafik 2">
          <a:extLst>
            <a:ext uri="{FF2B5EF4-FFF2-40B4-BE49-F238E27FC236}">
              <a16:creationId xmlns:a16="http://schemas.microsoft.com/office/drawing/2014/main" id="{05A50B63-3050-4A34-B109-7CF288ABC763}"/>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5830" y="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536122</xdr:colOff>
      <xdr:row>0</xdr:row>
      <xdr:rowOff>10885</xdr:rowOff>
    </xdr:from>
    <xdr:to>
      <xdr:col>10</xdr:col>
      <xdr:colOff>2766</xdr:colOff>
      <xdr:row>5</xdr:row>
      <xdr:rowOff>68035</xdr:rowOff>
    </xdr:to>
    <xdr:pic>
      <xdr:nvPicPr>
        <xdr:cNvPr id="2" name="Grafik 1">
          <a:extLst>
            <a:ext uri="{FF2B5EF4-FFF2-40B4-BE49-F238E27FC236}">
              <a16:creationId xmlns:a16="http://schemas.microsoft.com/office/drawing/2014/main" id="{9C9213F0-C579-4B15-9AFC-50F43D511C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9772" y="10885"/>
          <a:ext cx="914444" cy="914400"/>
        </a:xfrm>
        <a:prstGeom prst="rect">
          <a:avLst/>
        </a:prstGeom>
      </xdr:spPr>
    </xdr:pic>
    <xdr:clientData/>
  </xdr:twoCellAnchor>
  <xdr:twoCellAnchor>
    <xdr:from>
      <xdr:col>0</xdr:col>
      <xdr:colOff>0</xdr:colOff>
      <xdr:row>27</xdr:row>
      <xdr:rowOff>170649</xdr:rowOff>
    </xdr:from>
    <xdr:to>
      <xdr:col>9</xdr:col>
      <xdr:colOff>761999</xdr:colOff>
      <xdr:row>62</xdr:row>
      <xdr:rowOff>13606</xdr:rowOff>
    </xdr:to>
    <xdr:graphicFrame macro="">
      <xdr:nvGraphicFramePr>
        <xdr:cNvPr id="9" name="Diagramm 8">
          <a:extLst>
            <a:ext uri="{FF2B5EF4-FFF2-40B4-BE49-F238E27FC236}">
              <a16:creationId xmlns:a16="http://schemas.microsoft.com/office/drawing/2014/main" id="{E216476D-C64B-470B-9C73-A6E0C1368A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20291</xdr:colOff>
      <xdr:row>0</xdr:row>
      <xdr:rowOff>73715</xdr:rowOff>
    </xdr:from>
    <xdr:to>
      <xdr:col>8</xdr:col>
      <xdr:colOff>623863</xdr:colOff>
      <xdr:row>9</xdr:row>
      <xdr:rowOff>140045</xdr:rowOff>
    </xdr:to>
    <xdr:pic>
      <xdr:nvPicPr>
        <xdr:cNvPr id="4" name="Picture 3">
          <a:extLst>
            <a:ext uri="{FF2B5EF4-FFF2-40B4-BE49-F238E27FC236}">
              <a16:creationId xmlns:a16="http://schemas.microsoft.com/office/drawing/2014/main" id="{D33B95F7-5ABE-4ED1-BEAF-ABFA707E9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9916" y="73715"/>
          <a:ext cx="3289622" cy="1771305"/>
        </a:xfrm>
        <a:prstGeom prst="rect">
          <a:avLst/>
        </a:prstGeom>
      </xdr:spPr>
    </xdr:pic>
    <xdr:clientData/>
  </xdr:twoCellAnchor>
  <xdr:oneCellAnchor>
    <xdr:from>
      <xdr:col>1</xdr:col>
      <xdr:colOff>63103</xdr:colOff>
      <xdr:row>16</xdr:row>
      <xdr:rowOff>134620</xdr:rowOff>
    </xdr:from>
    <xdr:ext cx="1029891" cy="198755"/>
    <mc:AlternateContent xmlns:mc="http://schemas.openxmlformats.org/markup-compatibility/2006" xmlns:a14="http://schemas.microsoft.com/office/drawing/2010/main">
      <mc:Choice Requires="a14">
        <xdr:sp macro="" textlink="">
          <xdr:nvSpPr>
            <xdr:cNvPr id="14" name="Textfeld 13">
              <a:extLst>
                <a:ext uri="{FF2B5EF4-FFF2-40B4-BE49-F238E27FC236}">
                  <a16:creationId xmlns:a16="http://schemas.microsoft.com/office/drawing/2014/main" id="{14129DA5-331A-4E1C-846D-D2B96E07B9F8}"/>
                </a:ext>
              </a:extLst>
            </xdr:cNvPr>
            <xdr:cNvSpPr txBox="1"/>
          </xdr:nvSpPr>
          <xdr:spPr>
            <a:xfrm>
              <a:off x="806053" y="3277870"/>
              <a:ext cx="1029891"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a:p>
          </xdr:txBody>
        </xdr:sp>
      </mc:Choice>
      <mc:Fallback xmlns="">
        <xdr:sp macro="" textlink="">
          <xdr:nvSpPr>
            <xdr:cNvPr id="14" name="Textfeld 13">
              <a:extLst>
                <a:ext uri="{FF2B5EF4-FFF2-40B4-BE49-F238E27FC236}">
                  <a16:creationId xmlns:a16="http://schemas.microsoft.com/office/drawing/2014/main" id="{14129DA5-331A-4E1C-846D-D2B96E07B9F8}"/>
                </a:ext>
              </a:extLst>
            </xdr:cNvPr>
            <xdr:cNvSpPr txBox="1"/>
          </xdr:nvSpPr>
          <xdr:spPr>
            <a:xfrm>
              <a:off x="806053" y="3277870"/>
              <a:ext cx="1029891"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solidFill>
                    <a:schemeClr val="tx1"/>
                  </a:solidFill>
                  <a:effectLst/>
                  <a:latin typeface="Cambria Math" panose="02040503050406030204" pitchFamily="18" charset="0"/>
                  <a:ea typeface="+mn-ea"/>
                  <a:cs typeface="+mn-cs"/>
                </a:rPr>
                <a:t>𝑍_0</a:t>
              </a:r>
              <a:endParaRPr lang="en-US" sz="1100"/>
            </a:p>
          </xdr:txBody>
        </xdr:sp>
      </mc:Fallback>
    </mc:AlternateContent>
    <xdr:clientData/>
  </xdr:oneCellAnchor>
  <xdr:oneCellAnchor>
    <xdr:from>
      <xdr:col>1</xdr:col>
      <xdr:colOff>72628</xdr:colOff>
      <xdr:row>20</xdr:row>
      <xdr:rowOff>47624</xdr:rowOff>
    </xdr:from>
    <xdr:ext cx="1017984" cy="198755"/>
    <mc:AlternateContent xmlns:mc="http://schemas.openxmlformats.org/markup-compatibility/2006" xmlns:a14="http://schemas.microsoft.com/office/drawing/2010/main">
      <mc:Choice Requires="a14">
        <xdr:sp macro="" textlink="">
          <xdr:nvSpPr>
            <xdr:cNvPr id="15" name="Textfeld 14">
              <a:extLst>
                <a:ext uri="{FF2B5EF4-FFF2-40B4-BE49-F238E27FC236}">
                  <a16:creationId xmlns:a16="http://schemas.microsoft.com/office/drawing/2014/main" id="{8A1EB2AA-710B-454A-A7A2-762E146F3377}"/>
                </a:ext>
              </a:extLst>
            </xdr:cNvPr>
            <xdr:cNvSpPr txBox="1"/>
          </xdr:nvSpPr>
          <xdr:spPr>
            <a:xfrm>
              <a:off x="815578" y="4867274"/>
              <a:ext cx="1017984"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de-CH" sz="1100" b="0" i="1">
                        <a:solidFill>
                          <a:schemeClr val="tx1"/>
                        </a:solidFill>
                        <a:effectLst/>
                        <a:latin typeface="Cambria Math" panose="02040503050406030204" pitchFamily="18" charset="0"/>
                        <a:ea typeface="+mn-ea"/>
                        <a:cs typeface="+mn-cs"/>
                      </a:rPr>
                      <m:t>0</m:t>
                    </m:r>
                  </m:oMath>
                </m:oMathPara>
              </a14:m>
              <a:endParaRPr lang="en-US" sz="1100"/>
            </a:p>
          </xdr:txBody>
        </xdr:sp>
      </mc:Choice>
      <mc:Fallback xmlns="">
        <xdr:sp macro="" textlink="">
          <xdr:nvSpPr>
            <xdr:cNvPr id="15" name="Textfeld 14">
              <a:extLst>
                <a:ext uri="{FF2B5EF4-FFF2-40B4-BE49-F238E27FC236}">
                  <a16:creationId xmlns:a16="http://schemas.microsoft.com/office/drawing/2014/main" id="{8A1EB2AA-710B-454A-A7A2-762E146F3377}"/>
                </a:ext>
              </a:extLst>
            </xdr:cNvPr>
            <xdr:cNvSpPr txBox="1"/>
          </xdr:nvSpPr>
          <xdr:spPr>
            <a:xfrm>
              <a:off x="815578" y="4867274"/>
              <a:ext cx="1017984"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solidFill>
                    <a:schemeClr val="tx1"/>
                  </a:solidFill>
                  <a:effectLst/>
                  <a:latin typeface="Cambria Math" panose="02040503050406030204" pitchFamily="18" charset="0"/>
                  <a:ea typeface="+mn-ea"/>
                  <a:cs typeface="+mn-cs"/>
                </a:rPr>
                <a:t>0</a:t>
              </a:r>
              <a:endParaRPr lang="en-US" sz="1100"/>
            </a:p>
          </xdr:txBody>
        </xdr:sp>
      </mc:Fallback>
    </mc:AlternateContent>
    <xdr:clientData/>
  </xdr:oneCellAnchor>
  <xdr:oneCellAnchor>
    <xdr:from>
      <xdr:col>1</xdr:col>
      <xdr:colOff>66675</xdr:colOff>
      <xdr:row>20</xdr:row>
      <xdr:rowOff>232172</xdr:rowOff>
    </xdr:from>
    <xdr:ext cx="1029890" cy="198755"/>
    <mc:AlternateContent xmlns:mc="http://schemas.openxmlformats.org/markup-compatibility/2006" xmlns:a14="http://schemas.microsoft.com/office/drawing/2010/main">
      <mc:Choice Requires="a14">
        <xdr:sp macro="" textlink="">
          <xdr:nvSpPr>
            <xdr:cNvPr id="16" name="Textfeld 15">
              <a:extLst>
                <a:ext uri="{FF2B5EF4-FFF2-40B4-BE49-F238E27FC236}">
                  <a16:creationId xmlns:a16="http://schemas.microsoft.com/office/drawing/2014/main" id="{D1A9823A-519C-49C7-B03B-DA42CCCD9BA4}"/>
                </a:ext>
              </a:extLst>
            </xdr:cNvPr>
            <xdr:cNvSpPr txBox="1"/>
          </xdr:nvSpPr>
          <xdr:spPr>
            <a:xfrm>
              <a:off x="809625" y="5051822"/>
              <a:ext cx="1029890"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de-CH" sz="1100" b="0" i="1">
                        <a:latin typeface="Cambria Math" panose="02040503050406030204" pitchFamily="18" charset="0"/>
                        <a:ea typeface="Cambria Math" panose="02040503050406030204" pitchFamily="18" charset="0"/>
                      </a:rPr>
                      <m:t>∞</m:t>
                    </m:r>
                  </m:oMath>
                </m:oMathPara>
              </a14:m>
              <a:endParaRPr lang="en-US" sz="1100" i="0"/>
            </a:p>
          </xdr:txBody>
        </xdr:sp>
      </mc:Choice>
      <mc:Fallback xmlns="">
        <xdr:sp macro="" textlink="">
          <xdr:nvSpPr>
            <xdr:cNvPr id="16" name="Textfeld 15">
              <a:extLst>
                <a:ext uri="{FF2B5EF4-FFF2-40B4-BE49-F238E27FC236}">
                  <a16:creationId xmlns:a16="http://schemas.microsoft.com/office/drawing/2014/main" id="{D1A9823A-519C-49C7-B03B-DA42CCCD9BA4}"/>
                </a:ext>
              </a:extLst>
            </xdr:cNvPr>
            <xdr:cNvSpPr txBox="1"/>
          </xdr:nvSpPr>
          <xdr:spPr>
            <a:xfrm>
              <a:off x="809625" y="5051822"/>
              <a:ext cx="1029890"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latin typeface="Cambria Math" panose="02040503050406030204" pitchFamily="18" charset="0"/>
                  <a:ea typeface="Cambria Math" panose="02040503050406030204" pitchFamily="18" charset="0"/>
                </a:rPr>
                <a:t>∞</a:t>
              </a:r>
              <a:endParaRPr lang="en-US" sz="1100" i="0"/>
            </a:p>
          </xdr:txBody>
        </xdr:sp>
      </mc:Fallback>
    </mc:AlternateContent>
    <xdr:clientData/>
  </xdr:oneCellAnchor>
  <xdr:oneCellAnchor>
    <xdr:from>
      <xdr:col>1</xdr:col>
      <xdr:colOff>22621</xdr:colOff>
      <xdr:row>18</xdr:row>
      <xdr:rowOff>208528</xdr:rowOff>
    </xdr:from>
    <xdr:ext cx="1263253" cy="181997"/>
    <mc:AlternateContent xmlns:mc="http://schemas.openxmlformats.org/markup-compatibility/2006" xmlns:a14="http://schemas.microsoft.com/office/drawing/2010/main">
      <mc:Choice Requires="a14">
        <xdr:sp macro="" textlink="">
          <xdr:nvSpPr>
            <xdr:cNvPr id="17" name="Textfeld 18">
              <a:extLst>
                <a:ext uri="{FF2B5EF4-FFF2-40B4-BE49-F238E27FC236}">
                  <a16:creationId xmlns:a16="http://schemas.microsoft.com/office/drawing/2014/main" id="{E8327A8B-EE95-4E35-95BB-6FBE523E49AD}"/>
                </a:ext>
              </a:extLst>
            </xdr:cNvPr>
            <xdr:cNvSpPr txBox="1"/>
          </xdr:nvSpPr>
          <xdr:spPr>
            <a:xfrm>
              <a:off x="765571" y="4513828"/>
              <a:ext cx="1263253" cy="1819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en-US" sz="1100" b="0" i="1">
                        <a:latin typeface="Cambria Math" panose="02040503050406030204" pitchFamily="18" charset="0"/>
                      </a:rPr>
                      <m:t>1.4…</m:t>
                    </m:r>
                    <m:r>
                      <a:rPr lang="de-CH" sz="1100" b="0" i="1">
                        <a:latin typeface="Cambria Math" panose="02040503050406030204" pitchFamily="18" charset="0"/>
                      </a:rPr>
                      <m:t>1.9</m:t>
                    </m:r>
                    <m:r>
                      <a:rPr lang="de-CH" sz="1100" b="0" i="1">
                        <a:solidFill>
                          <a:schemeClr val="tx1"/>
                        </a:solidFill>
                        <a:effectLst/>
                        <a:latin typeface="Cambria Math" panose="02040503050406030204" pitchFamily="18" charset="0"/>
                        <a:ea typeface="Cambria Math" panose="02040503050406030204" pitchFamily="18" charset="0"/>
                        <a:cs typeface="+mn-cs"/>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a:p>
          </xdr:txBody>
        </xdr:sp>
      </mc:Choice>
      <mc:Fallback xmlns="">
        <xdr:sp macro="" textlink="">
          <xdr:nvSpPr>
            <xdr:cNvPr id="17" name="Textfeld 18">
              <a:extLst>
                <a:ext uri="{FF2B5EF4-FFF2-40B4-BE49-F238E27FC236}">
                  <a16:creationId xmlns:a16="http://schemas.microsoft.com/office/drawing/2014/main" id="{E8327A8B-EE95-4E35-95BB-6FBE523E49AD}"/>
                </a:ext>
              </a:extLst>
            </xdr:cNvPr>
            <xdr:cNvSpPr txBox="1"/>
          </xdr:nvSpPr>
          <xdr:spPr>
            <a:xfrm>
              <a:off x="765571" y="4513828"/>
              <a:ext cx="1263253" cy="1819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en-US" sz="1100" b="0" i="0">
                  <a:latin typeface="Cambria Math" panose="02040503050406030204" pitchFamily="18" charset="0"/>
                </a:rPr>
                <a:t>1.4…</a:t>
              </a:r>
              <a:r>
                <a:rPr lang="de-CH" sz="1100" b="0" i="0">
                  <a:latin typeface="Cambria Math" panose="02040503050406030204" pitchFamily="18" charset="0"/>
                </a:rPr>
                <a:t>1.9</a:t>
              </a:r>
              <a:r>
                <a:rPr lang="de-CH" sz="1100" b="0" i="0">
                  <a:solidFill>
                    <a:schemeClr val="tx1"/>
                  </a:solidFill>
                  <a:effectLst/>
                  <a:latin typeface="Cambria Math" panose="02040503050406030204" pitchFamily="18" charset="0"/>
                  <a:ea typeface="Cambria Math" panose="02040503050406030204" pitchFamily="18" charset="0"/>
                  <a:cs typeface="+mn-cs"/>
                </a:rPr>
                <a:t>∙</a:t>
              </a:r>
              <a:r>
                <a:rPr lang="de-CH" sz="1100" b="0" i="0">
                  <a:solidFill>
                    <a:schemeClr val="tx1"/>
                  </a:solidFill>
                  <a:effectLst/>
                  <a:latin typeface="Cambria Math" panose="02040503050406030204" pitchFamily="18" charset="0"/>
                  <a:ea typeface="+mn-ea"/>
                  <a:cs typeface="+mn-cs"/>
                </a:rPr>
                <a:t>𝑍_0</a:t>
              </a:r>
              <a:endParaRPr lang="en-US" sz="1100"/>
            </a:p>
          </xdr:txBody>
        </xdr:sp>
      </mc:Fallback>
    </mc:AlternateContent>
    <xdr:clientData/>
  </xdr:oneCellAnchor>
  <xdr:oneCellAnchor>
    <xdr:from>
      <xdr:col>1</xdr:col>
      <xdr:colOff>32146</xdr:colOff>
      <xdr:row>18</xdr:row>
      <xdr:rowOff>29936</xdr:rowOff>
    </xdr:from>
    <xdr:ext cx="1234679" cy="246289"/>
    <mc:AlternateContent xmlns:mc="http://schemas.openxmlformats.org/markup-compatibility/2006" xmlns:a14="http://schemas.microsoft.com/office/drawing/2010/main">
      <mc:Choice Requires="a14">
        <xdr:sp macro="" textlink="">
          <xdr:nvSpPr>
            <xdr:cNvPr id="18" name="Textfeld 19">
              <a:extLst>
                <a:ext uri="{FF2B5EF4-FFF2-40B4-BE49-F238E27FC236}">
                  <a16:creationId xmlns:a16="http://schemas.microsoft.com/office/drawing/2014/main" id="{9F4C8B86-4CBB-4F75-944A-20763B264062}"/>
                </a:ext>
              </a:extLst>
            </xdr:cNvPr>
            <xdr:cNvSpPr txBox="1"/>
          </xdr:nvSpPr>
          <xdr:spPr>
            <a:xfrm>
              <a:off x="775096" y="4335236"/>
              <a:ext cx="1234679" cy="246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de-CH" sz="1100" b="0" i="1">
                        <a:latin typeface="Cambria Math" panose="02040503050406030204" pitchFamily="18" charset="0"/>
                        <a:ea typeface="Cambria Math" panose="02040503050406030204" pitchFamily="18" charset="0"/>
                      </a:rPr>
                      <m:t>0.5</m:t>
                    </m:r>
                    <m:r>
                      <a:rPr lang="en-US" sz="1100" b="0" i="1">
                        <a:latin typeface="Cambria Math" panose="02040503050406030204" pitchFamily="18" charset="0"/>
                        <a:ea typeface="Cambria Math" panose="02040503050406030204" pitchFamily="18" charset="0"/>
                      </a:rPr>
                      <m:t>…0.7</m:t>
                    </m:r>
                    <m:r>
                      <a:rPr lang="de-CH" sz="1100" b="0" i="1">
                        <a:solidFill>
                          <a:schemeClr val="tx1"/>
                        </a:solidFill>
                        <a:effectLst/>
                        <a:latin typeface="Cambria Math" panose="02040503050406030204" pitchFamily="18" charset="0"/>
                        <a:ea typeface="+mn-ea"/>
                        <a:cs typeface="+mn-cs"/>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i="0"/>
            </a:p>
          </xdr:txBody>
        </xdr:sp>
      </mc:Choice>
      <mc:Fallback xmlns="">
        <xdr:sp macro="" textlink="">
          <xdr:nvSpPr>
            <xdr:cNvPr id="18" name="Textfeld 19">
              <a:extLst>
                <a:ext uri="{FF2B5EF4-FFF2-40B4-BE49-F238E27FC236}">
                  <a16:creationId xmlns:a16="http://schemas.microsoft.com/office/drawing/2014/main" id="{9F4C8B86-4CBB-4F75-944A-20763B264062}"/>
                </a:ext>
              </a:extLst>
            </xdr:cNvPr>
            <xdr:cNvSpPr txBox="1"/>
          </xdr:nvSpPr>
          <xdr:spPr>
            <a:xfrm>
              <a:off x="775096" y="4335236"/>
              <a:ext cx="1234679" cy="246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latin typeface="Cambria Math" panose="02040503050406030204" pitchFamily="18" charset="0"/>
                  <a:ea typeface="Cambria Math" panose="02040503050406030204" pitchFamily="18" charset="0"/>
                </a:rPr>
                <a:t>0.5</a:t>
              </a:r>
              <a:r>
                <a:rPr lang="en-US" sz="1100" b="0" i="0">
                  <a:latin typeface="Cambria Math" panose="02040503050406030204" pitchFamily="18" charset="0"/>
                  <a:ea typeface="Cambria Math" panose="02040503050406030204" pitchFamily="18" charset="0"/>
                </a:rPr>
                <a:t>…0.7</a:t>
              </a:r>
              <a:r>
                <a:rPr lang="de-CH" sz="1100" b="0" i="0">
                  <a:solidFill>
                    <a:schemeClr val="tx1"/>
                  </a:solidFill>
                  <a:effectLst/>
                  <a:latin typeface="Cambria Math" panose="02040503050406030204" pitchFamily="18" charset="0"/>
                  <a:ea typeface="+mn-ea"/>
                  <a:cs typeface="+mn-cs"/>
                </a:rPr>
                <a:t>∙𝑍_0</a:t>
              </a:r>
              <a:endParaRPr lang="en-US" sz="1100" i="0"/>
            </a:p>
          </xdr:txBody>
        </xdr:sp>
      </mc:Fallback>
    </mc:AlternateContent>
    <xdr:clientData/>
  </xdr:oneCellAnchor>
  <xdr:oneCellAnchor>
    <xdr:from>
      <xdr:col>1</xdr:col>
      <xdr:colOff>60722</xdr:colOff>
      <xdr:row>17</xdr:row>
      <xdr:rowOff>203085</xdr:rowOff>
    </xdr:from>
    <xdr:ext cx="1038226" cy="198755"/>
    <mc:AlternateContent xmlns:mc="http://schemas.openxmlformats.org/markup-compatibility/2006" xmlns:a14="http://schemas.microsoft.com/office/drawing/2010/main">
      <mc:Choice Requires="a14">
        <xdr:sp macro="" textlink="">
          <xdr:nvSpPr>
            <xdr:cNvPr id="19" name="Textfeld 20">
              <a:extLst>
                <a:ext uri="{FF2B5EF4-FFF2-40B4-BE49-F238E27FC236}">
                  <a16:creationId xmlns:a16="http://schemas.microsoft.com/office/drawing/2014/main" id="{7F8786D7-E804-47E5-BC18-A3F7B92B67DD}"/>
                </a:ext>
              </a:extLst>
            </xdr:cNvPr>
            <xdr:cNvSpPr txBox="1"/>
          </xdr:nvSpPr>
          <xdr:spPr>
            <a:xfrm>
              <a:off x="803672" y="3765435"/>
              <a:ext cx="1038226"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de-CH" sz="1100" b="0" i="1">
                        <a:solidFill>
                          <a:schemeClr val="tx1"/>
                        </a:solidFill>
                        <a:effectLst/>
                        <a:latin typeface="Cambria Math" panose="02040503050406030204" pitchFamily="18" charset="0"/>
                        <a:ea typeface="+mn-ea"/>
                        <a:cs typeface="+mn-cs"/>
                      </a:rPr>
                      <m:t>1.4</m:t>
                    </m:r>
                    <m:r>
                      <a:rPr lang="de-CH" sz="1100" b="0" i="1">
                        <a:solidFill>
                          <a:schemeClr val="tx1"/>
                        </a:solidFill>
                        <a:effectLst/>
                        <a:latin typeface="Cambria Math" panose="02040503050406030204" pitchFamily="18" charset="0"/>
                        <a:ea typeface="Cambria Math" panose="02040503050406030204" pitchFamily="18" charset="0"/>
                        <a:cs typeface="+mn-cs"/>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a:p>
          </xdr:txBody>
        </xdr:sp>
      </mc:Choice>
      <mc:Fallback xmlns="">
        <xdr:sp macro="" textlink="">
          <xdr:nvSpPr>
            <xdr:cNvPr id="19" name="Textfeld 20">
              <a:extLst>
                <a:ext uri="{FF2B5EF4-FFF2-40B4-BE49-F238E27FC236}">
                  <a16:creationId xmlns:a16="http://schemas.microsoft.com/office/drawing/2014/main" id="{7F8786D7-E804-47E5-BC18-A3F7B92B67DD}"/>
                </a:ext>
              </a:extLst>
            </xdr:cNvPr>
            <xdr:cNvSpPr txBox="1"/>
          </xdr:nvSpPr>
          <xdr:spPr>
            <a:xfrm>
              <a:off x="803672" y="3765435"/>
              <a:ext cx="1038226"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solidFill>
                    <a:schemeClr val="tx1"/>
                  </a:solidFill>
                  <a:effectLst/>
                  <a:latin typeface="Cambria Math" panose="02040503050406030204" pitchFamily="18" charset="0"/>
                  <a:ea typeface="+mn-ea"/>
                  <a:cs typeface="+mn-cs"/>
                </a:rPr>
                <a:t>1.4</a:t>
              </a:r>
              <a:r>
                <a:rPr lang="de-CH" sz="1100" b="0" i="0">
                  <a:solidFill>
                    <a:schemeClr val="tx1"/>
                  </a:solidFill>
                  <a:effectLst/>
                  <a:latin typeface="Cambria Math" panose="02040503050406030204" pitchFamily="18" charset="0"/>
                  <a:ea typeface="Cambria Math" panose="02040503050406030204" pitchFamily="18" charset="0"/>
                  <a:cs typeface="+mn-cs"/>
                </a:rPr>
                <a:t>∙</a:t>
              </a:r>
              <a:r>
                <a:rPr lang="de-CH" sz="1100" b="0" i="0">
                  <a:solidFill>
                    <a:schemeClr val="tx1"/>
                  </a:solidFill>
                  <a:effectLst/>
                  <a:latin typeface="Cambria Math" panose="02040503050406030204" pitchFamily="18" charset="0"/>
                  <a:ea typeface="+mn-ea"/>
                  <a:cs typeface="+mn-cs"/>
                </a:rPr>
                <a:t>𝑍_0</a:t>
              </a:r>
              <a:endParaRPr lang="en-US" sz="1100"/>
            </a:p>
          </xdr:txBody>
        </xdr:sp>
      </mc:Fallback>
    </mc:AlternateContent>
    <xdr:clientData/>
  </xdr:oneCellAnchor>
  <xdr:oneCellAnchor>
    <xdr:from>
      <xdr:col>1</xdr:col>
      <xdr:colOff>60721</xdr:colOff>
      <xdr:row>17</xdr:row>
      <xdr:rowOff>24493</xdr:rowOff>
    </xdr:from>
    <xdr:ext cx="1026320" cy="198755"/>
    <mc:AlternateContent xmlns:mc="http://schemas.openxmlformats.org/markup-compatibility/2006" xmlns:a14="http://schemas.microsoft.com/office/drawing/2010/main">
      <mc:Choice Requires="a14">
        <xdr:sp macro="" textlink="">
          <xdr:nvSpPr>
            <xdr:cNvPr id="20" name="Textfeld 21">
              <a:extLst>
                <a:ext uri="{FF2B5EF4-FFF2-40B4-BE49-F238E27FC236}">
                  <a16:creationId xmlns:a16="http://schemas.microsoft.com/office/drawing/2014/main" id="{3C5822C0-8055-4E8C-94A7-0491FFE7AB2F}"/>
                </a:ext>
              </a:extLst>
            </xdr:cNvPr>
            <xdr:cNvSpPr txBox="1"/>
          </xdr:nvSpPr>
          <xdr:spPr>
            <a:xfrm>
              <a:off x="803671" y="3586843"/>
              <a:ext cx="1026320"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en-US" sz="1100" i="1">
                        <a:latin typeface="Cambria Math" panose="02040503050406030204" pitchFamily="18" charset="0"/>
                      </a:rPr>
                      <m:t>=</m:t>
                    </m:r>
                    <m:r>
                      <a:rPr lang="de-CH" sz="1100" b="0" i="1">
                        <a:latin typeface="Cambria Math" panose="02040503050406030204" pitchFamily="18" charset="0"/>
                        <a:ea typeface="Cambria Math" panose="02040503050406030204" pitchFamily="18" charset="0"/>
                      </a:rPr>
                      <m:t>0.7</m:t>
                    </m:r>
                    <m:r>
                      <a:rPr lang="de-CH" sz="1100" b="0" i="1">
                        <a:solidFill>
                          <a:schemeClr val="tx1"/>
                        </a:solidFill>
                        <a:effectLst/>
                        <a:latin typeface="Cambria Math" panose="02040503050406030204" pitchFamily="18" charset="0"/>
                        <a:ea typeface="+mn-ea"/>
                        <a:cs typeface="+mn-cs"/>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i="0"/>
            </a:p>
          </xdr:txBody>
        </xdr:sp>
      </mc:Choice>
      <mc:Fallback xmlns="">
        <xdr:sp macro="" textlink="">
          <xdr:nvSpPr>
            <xdr:cNvPr id="20" name="Textfeld 21">
              <a:extLst>
                <a:ext uri="{FF2B5EF4-FFF2-40B4-BE49-F238E27FC236}">
                  <a16:creationId xmlns:a16="http://schemas.microsoft.com/office/drawing/2014/main" id="{3C5822C0-8055-4E8C-94A7-0491FFE7AB2F}"/>
                </a:ext>
              </a:extLst>
            </xdr:cNvPr>
            <xdr:cNvSpPr txBox="1"/>
          </xdr:nvSpPr>
          <xdr:spPr>
            <a:xfrm>
              <a:off x="803671" y="3586843"/>
              <a:ext cx="1026320"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en-US" sz="1100" i="0">
                  <a:latin typeface="Cambria Math" panose="02040503050406030204" pitchFamily="18" charset="0"/>
                </a:rPr>
                <a:t>=</a:t>
              </a:r>
              <a:r>
                <a:rPr lang="de-CH" sz="1100" b="0" i="0">
                  <a:latin typeface="Cambria Math" panose="02040503050406030204" pitchFamily="18" charset="0"/>
                  <a:ea typeface="Cambria Math" panose="02040503050406030204" pitchFamily="18" charset="0"/>
                </a:rPr>
                <a:t>0.7</a:t>
              </a:r>
              <a:r>
                <a:rPr lang="de-CH" sz="1100" b="0" i="0">
                  <a:solidFill>
                    <a:schemeClr val="tx1"/>
                  </a:solidFill>
                  <a:effectLst/>
                  <a:latin typeface="Cambria Math" panose="02040503050406030204" pitchFamily="18" charset="0"/>
                  <a:ea typeface="+mn-ea"/>
                  <a:cs typeface="+mn-cs"/>
                </a:rPr>
                <a:t>∙𝑍_0</a:t>
              </a:r>
              <a:endParaRPr lang="en-US" sz="1100" i="0"/>
            </a:p>
          </xdr:txBody>
        </xdr:sp>
      </mc:Fallback>
    </mc:AlternateContent>
    <xdr:clientData/>
  </xdr:oneCellAnchor>
  <xdr:oneCellAnchor>
    <xdr:from>
      <xdr:col>1</xdr:col>
      <xdr:colOff>66676</xdr:colOff>
      <xdr:row>19</xdr:row>
      <xdr:rowOff>198491</xdr:rowOff>
    </xdr:from>
    <xdr:ext cx="1035844" cy="198755"/>
    <mc:AlternateContent xmlns:mc="http://schemas.openxmlformats.org/markup-compatibility/2006" xmlns:a14="http://schemas.microsoft.com/office/drawing/2010/main">
      <mc:Choice Requires="a14">
        <xdr:sp macro="" textlink="">
          <xdr:nvSpPr>
            <xdr:cNvPr id="21" name="Textfeld 22">
              <a:extLst>
                <a:ext uri="{FF2B5EF4-FFF2-40B4-BE49-F238E27FC236}">
                  <a16:creationId xmlns:a16="http://schemas.microsoft.com/office/drawing/2014/main" id="{7FE3874F-97F7-4402-9153-5F818329C619}"/>
                </a:ext>
              </a:extLst>
            </xdr:cNvPr>
            <xdr:cNvSpPr txBox="1"/>
          </xdr:nvSpPr>
          <xdr:spPr>
            <a:xfrm>
              <a:off x="809626" y="4599041"/>
              <a:ext cx="1035844"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de-CH" sz="1100" b="0" i="1">
                        <a:solidFill>
                          <a:schemeClr val="tx1"/>
                        </a:solidFill>
                        <a:effectLst/>
                        <a:latin typeface="Cambria Math" panose="02040503050406030204" pitchFamily="18" charset="0"/>
                        <a:ea typeface="Cambria Math" panose="02040503050406030204" pitchFamily="18" charset="0"/>
                        <a:cs typeface="+mn-cs"/>
                      </a:rPr>
                      <m:t>&gt;</m:t>
                    </m:r>
                    <m:r>
                      <a:rPr lang="de-CH" sz="1100" b="0" i="1">
                        <a:solidFill>
                          <a:schemeClr val="tx1"/>
                        </a:solidFill>
                        <a:effectLst/>
                        <a:latin typeface="Cambria Math" panose="02040503050406030204" pitchFamily="18" charset="0"/>
                        <a:ea typeface="+mn-ea"/>
                        <a:cs typeface="+mn-cs"/>
                      </a:rPr>
                      <m:t>1.9∙</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a:p>
          </xdr:txBody>
        </xdr:sp>
      </mc:Choice>
      <mc:Fallback xmlns="">
        <xdr:sp macro="" textlink="">
          <xdr:nvSpPr>
            <xdr:cNvPr id="21" name="Textfeld 22">
              <a:extLst>
                <a:ext uri="{FF2B5EF4-FFF2-40B4-BE49-F238E27FC236}">
                  <a16:creationId xmlns:a16="http://schemas.microsoft.com/office/drawing/2014/main" id="{7FE3874F-97F7-4402-9153-5F818329C619}"/>
                </a:ext>
              </a:extLst>
            </xdr:cNvPr>
            <xdr:cNvSpPr txBox="1"/>
          </xdr:nvSpPr>
          <xdr:spPr>
            <a:xfrm>
              <a:off x="809626" y="4599041"/>
              <a:ext cx="1035844"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a:t>
              </a:r>
              <a:r>
                <a:rPr lang="de-CH" sz="1100" b="0" i="0">
                  <a:solidFill>
                    <a:schemeClr val="tx1"/>
                  </a:solidFill>
                  <a:effectLst/>
                  <a:latin typeface="Cambria Math" panose="02040503050406030204" pitchFamily="18" charset="0"/>
                  <a:ea typeface="Cambria Math" panose="02040503050406030204" pitchFamily="18" charset="0"/>
                  <a:cs typeface="+mn-cs"/>
                </a:rPr>
                <a:t>&gt;</a:t>
              </a:r>
              <a:r>
                <a:rPr lang="de-CH" sz="1100" b="0" i="0">
                  <a:solidFill>
                    <a:schemeClr val="tx1"/>
                  </a:solidFill>
                  <a:effectLst/>
                  <a:latin typeface="Cambria Math" panose="02040503050406030204" pitchFamily="18" charset="0"/>
                  <a:ea typeface="+mn-ea"/>
                  <a:cs typeface="+mn-cs"/>
                </a:rPr>
                <a:t>1.9∙𝑍_0</a:t>
              </a:r>
              <a:endParaRPr lang="en-US" sz="1100"/>
            </a:p>
          </xdr:txBody>
        </xdr:sp>
      </mc:Fallback>
    </mc:AlternateContent>
    <xdr:clientData/>
  </xdr:oneCellAnchor>
  <xdr:oneCellAnchor>
    <xdr:from>
      <xdr:col>1</xdr:col>
      <xdr:colOff>69055</xdr:colOff>
      <xdr:row>19</xdr:row>
      <xdr:rowOff>19899</xdr:rowOff>
    </xdr:from>
    <xdr:ext cx="1035845" cy="198755"/>
    <mc:AlternateContent xmlns:mc="http://schemas.openxmlformats.org/markup-compatibility/2006" xmlns:a14="http://schemas.microsoft.com/office/drawing/2010/main">
      <mc:Choice Requires="a14">
        <xdr:sp macro="" textlink="">
          <xdr:nvSpPr>
            <xdr:cNvPr id="22" name="Textfeld 23">
              <a:extLst>
                <a:ext uri="{FF2B5EF4-FFF2-40B4-BE49-F238E27FC236}">
                  <a16:creationId xmlns:a16="http://schemas.microsoft.com/office/drawing/2014/main" id="{890D2E6D-B554-48B9-ABCC-ED8996A6797E}"/>
                </a:ext>
              </a:extLst>
            </xdr:cNvPr>
            <xdr:cNvSpPr txBox="1"/>
          </xdr:nvSpPr>
          <xdr:spPr>
            <a:xfrm>
              <a:off x="812005" y="4420449"/>
              <a:ext cx="1035845"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CH" sz="1100" b="0" i="1">
                            <a:latin typeface="Cambria Math" panose="02040503050406030204" pitchFamily="18" charset="0"/>
                          </a:rPr>
                        </m:ctrlPr>
                      </m:sSubPr>
                      <m:e>
                        <m:r>
                          <a:rPr lang="de-CH" sz="1100" b="0" i="1">
                            <a:latin typeface="Cambria Math" panose="02040503050406030204" pitchFamily="18" charset="0"/>
                          </a:rPr>
                          <m:t>𝑍</m:t>
                        </m:r>
                      </m:e>
                      <m:sub>
                        <m:r>
                          <m:rPr>
                            <m:sty m:val="p"/>
                          </m:rPr>
                          <a:rPr lang="de-CH" sz="1100" b="0" i="0">
                            <a:latin typeface="Cambria Math" panose="02040503050406030204" pitchFamily="18" charset="0"/>
                          </a:rPr>
                          <m:t>load</m:t>
                        </m:r>
                      </m:sub>
                    </m:sSub>
                    <m:r>
                      <a:rPr lang="de-CH" sz="1100" b="0" i="1">
                        <a:latin typeface="Cambria Math" panose="02040503050406030204" pitchFamily="18" charset="0"/>
                      </a:rPr>
                      <m:t>&lt;</m:t>
                    </m:r>
                    <m:r>
                      <a:rPr lang="de-CH" sz="1100" b="0" i="1">
                        <a:latin typeface="Cambria Math" panose="02040503050406030204" pitchFamily="18" charset="0"/>
                        <a:ea typeface="Cambria Math" panose="02040503050406030204" pitchFamily="18" charset="0"/>
                      </a:rPr>
                      <m:t>0.5</m:t>
                    </m:r>
                    <m:r>
                      <a:rPr lang="de-CH" sz="1100" b="0" i="1">
                        <a:solidFill>
                          <a:schemeClr val="tx1"/>
                        </a:solidFill>
                        <a:effectLst/>
                        <a:latin typeface="Cambria Math" panose="02040503050406030204" pitchFamily="18" charset="0"/>
                        <a:ea typeface="+mn-ea"/>
                        <a:cs typeface="+mn-cs"/>
                      </a:rPr>
                      <m:t>∙</m:t>
                    </m:r>
                    <m:sSub>
                      <m:sSubPr>
                        <m:ctrlPr>
                          <a:rPr lang="de-CH" sz="1100" b="0" i="1">
                            <a:solidFill>
                              <a:schemeClr val="tx1"/>
                            </a:solidFill>
                            <a:effectLst/>
                            <a:latin typeface="Cambria Math" panose="02040503050406030204" pitchFamily="18" charset="0"/>
                            <a:ea typeface="+mn-ea"/>
                            <a:cs typeface="+mn-cs"/>
                          </a:rPr>
                        </m:ctrlPr>
                      </m:sSubPr>
                      <m:e>
                        <m:r>
                          <a:rPr lang="de-CH" sz="1100" b="0" i="1">
                            <a:solidFill>
                              <a:schemeClr val="tx1"/>
                            </a:solidFill>
                            <a:effectLst/>
                            <a:latin typeface="Cambria Math" panose="02040503050406030204" pitchFamily="18" charset="0"/>
                            <a:ea typeface="+mn-ea"/>
                            <a:cs typeface="+mn-cs"/>
                          </a:rPr>
                          <m:t>𝑍</m:t>
                        </m:r>
                      </m:e>
                      <m:sub>
                        <m:r>
                          <a:rPr lang="de-CH" sz="1100" b="0" i="1">
                            <a:solidFill>
                              <a:schemeClr val="tx1"/>
                            </a:solidFill>
                            <a:effectLst/>
                            <a:latin typeface="Cambria Math" panose="02040503050406030204" pitchFamily="18" charset="0"/>
                            <a:ea typeface="+mn-ea"/>
                            <a:cs typeface="+mn-cs"/>
                          </a:rPr>
                          <m:t>0</m:t>
                        </m:r>
                      </m:sub>
                    </m:sSub>
                  </m:oMath>
                </m:oMathPara>
              </a14:m>
              <a:endParaRPr lang="en-US" sz="1100" i="0"/>
            </a:p>
          </xdr:txBody>
        </xdr:sp>
      </mc:Choice>
      <mc:Fallback xmlns="">
        <xdr:sp macro="" textlink="">
          <xdr:nvSpPr>
            <xdr:cNvPr id="22" name="Textfeld 23">
              <a:extLst>
                <a:ext uri="{FF2B5EF4-FFF2-40B4-BE49-F238E27FC236}">
                  <a16:creationId xmlns:a16="http://schemas.microsoft.com/office/drawing/2014/main" id="{890D2E6D-B554-48B9-ABCC-ED8996A6797E}"/>
                </a:ext>
              </a:extLst>
            </xdr:cNvPr>
            <xdr:cNvSpPr txBox="1"/>
          </xdr:nvSpPr>
          <xdr:spPr>
            <a:xfrm>
              <a:off x="812005" y="4420449"/>
              <a:ext cx="1035845" cy="198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𝑍_load&lt;</a:t>
              </a:r>
              <a:r>
                <a:rPr lang="de-CH" sz="1100" b="0" i="0">
                  <a:latin typeface="Cambria Math" panose="02040503050406030204" pitchFamily="18" charset="0"/>
                  <a:ea typeface="Cambria Math" panose="02040503050406030204" pitchFamily="18" charset="0"/>
                </a:rPr>
                <a:t>0.5</a:t>
              </a:r>
              <a:r>
                <a:rPr lang="de-CH" sz="1100" b="0" i="0">
                  <a:solidFill>
                    <a:schemeClr val="tx1"/>
                  </a:solidFill>
                  <a:effectLst/>
                  <a:latin typeface="Cambria Math" panose="02040503050406030204" pitchFamily="18" charset="0"/>
                  <a:ea typeface="+mn-ea"/>
                  <a:cs typeface="+mn-cs"/>
                </a:rPr>
                <a:t>∙𝑍_0</a:t>
              </a:r>
              <a:endParaRPr lang="en-US" sz="1100" i="0"/>
            </a:p>
          </xdr:txBody>
        </xdr:sp>
      </mc:Fallback>
    </mc:AlternateContent>
    <xdr:clientData/>
  </xdr:oneCellAnchor>
  <xdr:twoCellAnchor editAs="oneCell">
    <xdr:from>
      <xdr:col>9</xdr:col>
      <xdr:colOff>798738</xdr:colOff>
      <xdr:row>0</xdr:row>
      <xdr:rowOff>0</xdr:rowOff>
    </xdr:from>
    <xdr:to>
      <xdr:col>10</xdr:col>
      <xdr:colOff>817788</xdr:colOff>
      <xdr:row>4</xdr:row>
      <xdr:rowOff>114300</xdr:rowOff>
    </xdr:to>
    <xdr:pic>
      <xdr:nvPicPr>
        <xdr:cNvPr id="23" name="Grafik 3">
          <a:extLst>
            <a:ext uri="{FF2B5EF4-FFF2-40B4-BE49-F238E27FC236}">
              <a16:creationId xmlns:a16="http://schemas.microsoft.com/office/drawing/2014/main" id="{B678F09B-FBAD-4AF5-B4F2-75C265933D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47363" y="0"/>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514350</xdr:colOff>
      <xdr:row>0</xdr:row>
      <xdr:rowOff>0</xdr:rowOff>
    </xdr:from>
    <xdr:to>
      <xdr:col>13</xdr:col>
      <xdr:colOff>0</xdr:colOff>
      <xdr:row>5</xdr:row>
      <xdr:rowOff>57150</xdr:rowOff>
    </xdr:to>
    <xdr:pic>
      <xdr:nvPicPr>
        <xdr:cNvPr id="2" name="Grafik 3">
          <a:extLst>
            <a:ext uri="{FF2B5EF4-FFF2-40B4-BE49-F238E27FC236}">
              <a16:creationId xmlns:a16="http://schemas.microsoft.com/office/drawing/2014/main" id="{F36184AE-1786-45C0-A2DD-5A85CBCF9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2475" y="0"/>
          <a:ext cx="914400" cy="914400"/>
        </a:xfrm>
        <a:prstGeom prst="rect">
          <a:avLst/>
        </a:prstGeom>
      </xdr:spPr>
    </xdr:pic>
    <xdr:clientData/>
  </xdr:twoCellAnchor>
  <xdr:twoCellAnchor editAs="oneCell">
    <xdr:from>
      <xdr:col>0</xdr:col>
      <xdr:colOff>0</xdr:colOff>
      <xdr:row>25</xdr:row>
      <xdr:rowOff>50348</xdr:rowOff>
    </xdr:from>
    <xdr:to>
      <xdr:col>5</xdr:col>
      <xdr:colOff>342811</xdr:colOff>
      <xdr:row>43</xdr:row>
      <xdr:rowOff>131484</xdr:rowOff>
    </xdr:to>
    <xdr:pic>
      <xdr:nvPicPr>
        <xdr:cNvPr id="4" name="Picture 3">
          <a:extLst>
            <a:ext uri="{FF2B5EF4-FFF2-40B4-BE49-F238E27FC236}">
              <a16:creationId xmlns:a16="http://schemas.microsoft.com/office/drawing/2014/main" id="{9E20CD43-FD99-4E4E-81F1-4A2EF5591E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517573"/>
          <a:ext cx="3914686" cy="30910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295274</xdr:colOff>
      <xdr:row>0</xdr:row>
      <xdr:rowOff>47625</xdr:rowOff>
    </xdr:from>
    <xdr:to>
      <xdr:col>6</xdr:col>
      <xdr:colOff>604215</xdr:colOff>
      <xdr:row>4</xdr:row>
      <xdr:rowOff>161925</xdr:rowOff>
    </xdr:to>
    <xdr:pic>
      <xdr:nvPicPr>
        <xdr:cNvPr id="2" name="Grafik 3">
          <a:extLst>
            <a:ext uri="{FF2B5EF4-FFF2-40B4-BE49-F238E27FC236}">
              <a16:creationId xmlns:a16="http://schemas.microsoft.com/office/drawing/2014/main" id="{94FC01EF-2736-4D71-8DF1-D9C1103802E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199" y="47625"/>
          <a:ext cx="918541"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533400</xdr:colOff>
      <xdr:row>0</xdr:row>
      <xdr:rowOff>0</xdr:rowOff>
    </xdr:from>
    <xdr:to>
      <xdr:col>13</xdr:col>
      <xdr:colOff>4650</xdr:colOff>
      <xdr:row>5</xdr:row>
      <xdr:rowOff>42750</xdr:rowOff>
    </xdr:to>
    <xdr:pic>
      <xdr:nvPicPr>
        <xdr:cNvPr id="2" name="Grafik 3">
          <a:extLst>
            <a:ext uri="{FF2B5EF4-FFF2-40B4-BE49-F238E27FC236}">
              <a16:creationId xmlns:a16="http://schemas.microsoft.com/office/drawing/2014/main" id="{FF09EBF2-2DC8-446A-9F0E-4B380BFCB79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1525" y="0"/>
          <a:ext cx="900000" cy="900000"/>
        </a:xfrm>
        <a:prstGeom prst="rect">
          <a:avLst/>
        </a:prstGeom>
      </xdr:spPr>
    </xdr:pic>
    <xdr:clientData/>
  </xdr:twoCellAnchor>
  <xdr:twoCellAnchor editAs="oneCell">
    <xdr:from>
      <xdr:col>0</xdr:col>
      <xdr:colOff>47625</xdr:colOff>
      <xdr:row>12</xdr:row>
      <xdr:rowOff>71890</xdr:rowOff>
    </xdr:from>
    <xdr:to>
      <xdr:col>8</xdr:col>
      <xdr:colOff>153296</xdr:colOff>
      <xdr:row>22</xdr:row>
      <xdr:rowOff>43065</xdr:rowOff>
    </xdr:to>
    <xdr:pic>
      <xdr:nvPicPr>
        <xdr:cNvPr id="17" name="Picture 16">
          <a:extLst>
            <a:ext uri="{FF2B5EF4-FFF2-40B4-BE49-F238E27FC236}">
              <a16:creationId xmlns:a16="http://schemas.microsoft.com/office/drawing/2014/main" id="{C2E4C500-6371-44D9-A55A-02F91355936F}"/>
            </a:ext>
          </a:extLst>
        </xdr:cNvPr>
        <xdr:cNvPicPr>
          <a:picLocks noChangeAspect="1"/>
        </xdr:cNvPicPr>
      </xdr:nvPicPr>
      <xdr:blipFill>
        <a:blip xmlns:r="http://schemas.openxmlformats.org/officeDocument/2006/relationships" r:embed="rId2"/>
        <a:stretch>
          <a:fillRect/>
        </a:stretch>
      </xdr:blipFill>
      <xdr:spPr>
        <a:xfrm>
          <a:off x="47625" y="2129290"/>
          <a:ext cx="5820671" cy="1666625"/>
        </a:xfrm>
        <a:prstGeom prst="rect">
          <a:avLst/>
        </a:prstGeom>
      </xdr:spPr>
    </xdr:pic>
    <xdr:clientData/>
  </xdr:twoCellAnchor>
  <xdr:oneCellAnchor>
    <xdr:from>
      <xdr:col>0</xdr:col>
      <xdr:colOff>28575</xdr:colOff>
      <xdr:row>82</xdr:row>
      <xdr:rowOff>28575</xdr:rowOff>
    </xdr:from>
    <xdr:ext cx="3461899" cy="828675"/>
    <xdr:pic>
      <xdr:nvPicPr>
        <xdr:cNvPr id="5" name="Picture 4">
          <a:extLst>
            <a:ext uri="{FF2B5EF4-FFF2-40B4-BE49-F238E27FC236}">
              <a16:creationId xmlns:a16="http://schemas.microsoft.com/office/drawing/2014/main" id="{05FFF8DA-FDC4-4191-837C-C1D8E1639B52}"/>
            </a:ext>
          </a:extLst>
        </xdr:cNvPr>
        <xdr:cNvPicPr>
          <a:picLocks noChangeAspect="1"/>
        </xdr:cNvPicPr>
      </xdr:nvPicPr>
      <xdr:blipFill>
        <a:blip xmlns:r="http://schemas.openxmlformats.org/officeDocument/2006/relationships" r:embed="rId3"/>
        <a:stretch>
          <a:fillRect/>
        </a:stretch>
      </xdr:blipFill>
      <xdr:spPr>
        <a:xfrm>
          <a:off x="28575" y="8401050"/>
          <a:ext cx="3461899" cy="828675"/>
        </a:xfrm>
        <a:prstGeom prst="rect">
          <a:avLst/>
        </a:prstGeom>
      </xdr:spPr>
    </xdr:pic>
    <xdr:clientData/>
  </xdr:oneCellAnchor>
  <xdr:twoCellAnchor editAs="oneCell">
    <xdr:from>
      <xdr:col>0</xdr:col>
      <xdr:colOff>76200</xdr:colOff>
      <xdr:row>32</xdr:row>
      <xdr:rowOff>116692</xdr:rowOff>
    </xdr:from>
    <xdr:to>
      <xdr:col>4</xdr:col>
      <xdr:colOff>621610</xdr:colOff>
      <xdr:row>38</xdr:row>
      <xdr:rowOff>106017</xdr:rowOff>
    </xdr:to>
    <xdr:pic>
      <xdr:nvPicPr>
        <xdr:cNvPr id="6" name="Picture 5">
          <a:extLst>
            <a:ext uri="{FF2B5EF4-FFF2-40B4-BE49-F238E27FC236}">
              <a16:creationId xmlns:a16="http://schemas.microsoft.com/office/drawing/2014/main" id="{A7848243-8DA3-4E55-94C9-F4497AA26E91}"/>
            </a:ext>
          </a:extLst>
        </xdr:cNvPr>
        <xdr:cNvPicPr>
          <a:picLocks noChangeAspect="1"/>
        </xdr:cNvPicPr>
      </xdr:nvPicPr>
      <xdr:blipFill>
        <a:blip xmlns:r="http://schemas.openxmlformats.org/officeDocument/2006/relationships" r:embed="rId4"/>
        <a:stretch>
          <a:fillRect/>
        </a:stretch>
      </xdr:blipFill>
      <xdr:spPr>
        <a:xfrm>
          <a:off x="76200" y="5545942"/>
          <a:ext cx="3402910" cy="1018025"/>
        </a:xfrm>
        <a:prstGeom prst="rect">
          <a:avLst/>
        </a:prstGeom>
      </xdr:spPr>
    </xdr:pic>
    <xdr:clientData/>
  </xdr:twoCellAnchor>
  <xdr:twoCellAnchor editAs="oneCell">
    <xdr:from>
      <xdr:col>0</xdr:col>
      <xdr:colOff>66675</xdr:colOff>
      <xdr:row>114</xdr:row>
      <xdr:rowOff>69612</xdr:rowOff>
    </xdr:from>
    <xdr:to>
      <xdr:col>3</xdr:col>
      <xdr:colOff>152400</xdr:colOff>
      <xdr:row>125</xdr:row>
      <xdr:rowOff>113800</xdr:rowOff>
    </xdr:to>
    <xdr:pic>
      <xdr:nvPicPr>
        <xdr:cNvPr id="4" name="Picture 3">
          <a:extLst>
            <a:ext uri="{FF2B5EF4-FFF2-40B4-BE49-F238E27FC236}">
              <a16:creationId xmlns:a16="http://schemas.microsoft.com/office/drawing/2014/main" id="{DDD19B90-0765-409E-AAC8-BCFC80BAA38C}"/>
            </a:ext>
          </a:extLst>
        </xdr:cNvPr>
        <xdr:cNvPicPr>
          <a:picLocks noChangeAspect="1"/>
        </xdr:cNvPicPr>
      </xdr:nvPicPr>
      <xdr:blipFill>
        <a:blip xmlns:r="http://schemas.openxmlformats.org/officeDocument/2006/relationships" r:embed="rId5"/>
        <a:stretch>
          <a:fillRect/>
        </a:stretch>
      </xdr:blipFill>
      <xdr:spPr>
        <a:xfrm>
          <a:off x="66675" y="20957937"/>
          <a:ext cx="2228850" cy="1930138"/>
        </a:xfrm>
        <a:prstGeom prst="rect">
          <a:avLst/>
        </a:prstGeom>
      </xdr:spPr>
    </xdr:pic>
    <xdr:clientData/>
  </xdr:twoCellAnchor>
  <xdr:twoCellAnchor editAs="oneCell">
    <xdr:from>
      <xdr:col>0</xdr:col>
      <xdr:colOff>19049</xdr:colOff>
      <xdr:row>94</xdr:row>
      <xdr:rowOff>66767</xdr:rowOff>
    </xdr:from>
    <xdr:to>
      <xdr:col>3</xdr:col>
      <xdr:colOff>200025</xdr:colOff>
      <xdr:row>105</xdr:row>
      <xdr:rowOff>80278</xdr:rowOff>
    </xdr:to>
    <xdr:pic>
      <xdr:nvPicPr>
        <xdr:cNvPr id="7" name="Picture 6">
          <a:extLst>
            <a:ext uri="{FF2B5EF4-FFF2-40B4-BE49-F238E27FC236}">
              <a16:creationId xmlns:a16="http://schemas.microsoft.com/office/drawing/2014/main" id="{F503A6C5-549D-41E4-99DA-21AF303C3D0E}"/>
            </a:ext>
          </a:extLst>
        </xdr:cNvPr>
        <xdr:cNvPicPr>
          <a:picLocks noChangeAspect="1"/>
        </xdr:cNvPicPr>
      </xdr:nvPicPr>
      <xdr:blipFill>
        <a:blip xmlns:r="http://schemas.openxmlformats.org/officeDocument/2006/relationships" r:embed="rId6"/>
        <a:stretch>
          <a:fillRect/>
        </a:stretch>
      </xdr:blipFill>
      <xdr:spPr>
        <a:xfrm>
          <a:off x="19049" y="10496642"/>
          <a:ext cx="2324101" cy="1899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219283</xdr:colOff>
      <xdr:row>0</xdr:row>
      <xdr:rowOff>0</xdr:rowOff>
    </xdr:from>
    <xdr:to>
      <xdr:col>13</xdr:col>
      <xdr:colOff>1131</xdr:colOff>
      <xdr:row>4</xdr:row>
      <xdr:rowOff>104870</xdr:rowOff>
    </xdr:to>
    <xdr:pic>
      <xdr:nvPicPr>
        <xdr:cNvPr id="2" name="Grafik 3">
          <a:extLst>
            <a:ext uri="{FF2B5EF4-FFF2-40B4-BE49-F238E27FC236}">
              <a16:creationId xmlns:a16="http://schemas.microsoft.com/office/drawing/2014/main" id="{B140DEC5-65E3-495D-A6D4-0315F6C7D82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783" y="0"/>
          <a:ext cx="900000" cy="900000"/>
        </a:xfrm>
        <a:prstGeom prst="rect">
          <a:avLst/>
        </a:prstGeom>
      </xdr:spPr>
    </xdr:pic>
    <xdr:clientData/>
  </xdr:twoCellAnchor>
  <xdr:twoCellAnchor editAs="oneCell">
    <xdr:from>
      <xdr:col>4</xdr:col>
      <xdr:colOff>275392</xdr:colOff>
      <xdr:row>17</xdr:row>
      <xdr:rowOff>8725</xdr:rowOff>
    </xdr:from>
    <xdr:to>
      <xdr:col>12</xdr:col>
      <xdr:colOff>941339</xdr:colOff>
      <xdr:row>32</xdr:row>
      <xdr:rowOff>179293</xdr:rowOff>
    </xdr:to>
    <xdr:pic>
      <xdr:nvPicPr>
        <xdr:cNvPr id="4" name="Picture 3">
          <a:extLst>
            <a:ext uri="{FF2B5EF4-FFF2-40B4-BE49-F238E27FC236}">
              <a16:creationId xmlns:a16="http://schemas.microsoft.com/office/drawing/2014/main" id="{CA41B122-EA1D-47D1-BCEC-02C3726C3F4B}"/>
            </a:ext>
          </a:extLst>
        </xdr:cNvPr>
        <xdr:cNvPicPr>
          <a:picLocks noChangeAspect="1"/>
        </xdr:cNvPicPr>
      </xdr:nvPicPr>
      <xdr:blipFill>
        <a:blip xmlns:r="http://schemas.openxmlformats.org/officeDocument/2006/relationships" r:embed="rId2"/>
        <a:stretch>
          <a:fillRect/>
        </a:stretch>
      </xdr:blipFill>
      <xdr:spPr>
        <a:xfrm>
          <a:off x="4194249" y="3176468"/>
          <a:ext cx="5597176" cy="2973960"/>
        </a:xfrm>
        <a:prstGeom prst="rect">
          <a:avLst/>
        </a:prstGeom>
      </xdr:spPr>
    </xdr:pic>
    <xdr:clientData/>
  </xdr:twoCellAnchor>
  <xdr:twoCellAnchor>
    <xdr:from>
      <xdr:col>0</xdr:col>
      <xdr:colOff>37539</xdr:colOff>
      <xdr:row>10</xdr:row>
      <xdr:rowOff>18487</xdr:rowOff>
    </xdr:from>
    <xdr:to>
      <xdr:col>0</xdr:col>
      <xdr:colOff>1510552</xdr:colOff>
      <xdr:row>11</xdr:row>
      <xdr:rowOff>143435</xdr:rowOff>
    </xdr:to>
    <xdr:pic>
      <xdr:nvPicPr>
        <xdr:cNvPr id="6" name="Picture 5">
          <a:extLst>
            <a:ext uri="{FF2B5EF4-FFF2-40B4-BE49-F238E27FC236}">
              <a16:creationId xmlns:a16="http://schemas.microsoft.com/office/drawing/2014/main" id="{BE833E2B-0515-4450-8B35-731DDBB7B03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539" y="1811428"/>
          <a:ext cx="1473013" cy="304242"/>
        </a:xfrm>
        <a:prstGeom prst="rect">
          <a:avLst/>
        </a:prstGeom>
        <a:solidFill>
          <a:schemeClr val="bg1"/>
        </a:solidFill>
        <a:ln>
          <a:noFill/>
        </a:ln>
      </xdr:spPr>
    </xdr:pic>
    <xdr:clientData/>
  </xdr:twoCellAnchor>
  <xdr:twoCellAnchor>
    <xdr:from>
      <xdr:col>0</xdr:col>
      <xdr:colOff>10088</xdr:colOff>
      <xdr:row>17</xdr:row>
      <xdr:rowOff>17930</xdr:rowOff>
    </xdr:from>
    <xdr:to>
      <xdr:col>4</xdr:col>
      <xdr:colOff>13253</xdr:colOff>
      <xdr:row>18</xdr:row>
      <xdr:rowOff>103654</xdr:rowOff>
    </xdr:to>
    <xdr:pic>
      <xdr:nvPicPr>
        <xdr:cNvPr id="7" name="Picture 6">
          <a:extLst>
            <a:ext uri="{FF2B5EF4-FFF2-40B4-BE49-F238E27FC236}">
              <a16:creationId xmlns:a16="http://schemas.microsoft.com/office/drawing/2014/main" id="{90FB94CA-9017-465A-8453-0597FD63738C}"/>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88" y="3185200"/>
          <a:ext cx="3919182" cy="271254"/>
        </a:xfrm>
        <a:prstGeom prst="rect">
          <a:avLst/>
        </a:prstGeom>
        <a:solidFill>
          <a:schemeClr val="bg1"/>
        </a:solidFill>
      </xdr:spPr>
    </xdr:pic>
    <xdr:clientData/>
  </xdr:twoCellAnchor>
  <xdr:twoCellAnchor>
    <xdr:from>
      <xdr:col>0</xdr:col>
      <xdr:colOff>0</xdr:colOff>
      <xdr:row>18</xdr:row>
      <xdr:rowOff>167527</xdr:rowOff>
    </xdr:from>
    <xdr:to>
      <xdr:col>4</xdr:col>
      <xdr:colOff>6626</xdr:colOff>
      <xdr:row>20</xdr:row>
      <xdr:rowOff>62752</xdr:rowOff>
    </xdr:to>
    <xdr:pic>
      <xdr:nvPicPr>
        <xdr:cNvPr id="8" name="Picture 7">
          <a:extLst>
            <a:ext uri="{FF2B5EF4-FFF2-40B4-BE49-F238E27FC236}">
              <a16:creationId xmlns:a16="http://schemas.microsoft.com/office/drawing/2014/main" id="{E736C447-491B-449D-B4A0-D92E0BC3536C}"/>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3520327"/>
          <a:ext cx="3922643" cy="266286"/>
        </a:xfrm>
        <a:prstGeom prst="rect">
          <a:avLst/>
        </a:prstGeom>
        <a:solidFill>
          <a:schemeClr val="bg1"/>
        </a:solidFill>
      </xdr:spPr>
    </xdr:pic>
    <xdr:clientData/>
  </xdr:twoCellAnchor>
  <xdr:twoCellAnchor>
    <xdr:from>
      <xdr:col>0</xdr:col>
      <xdr:colOff>0</xdr:colOff>
      <xdr:row>37</xdr:row>
      <xdr:rowOff>186337</xdr:rowOff>
    </xdr:from>
    <xdr:to>
      <xdr:col>11</xdr:col>
      <xdr:colOff>0</xdr:colOff>
      <xdr:row>58</xdr:row>
      <xdr:rowOff>12196</xdr:rowOff>
    </xdr:to>
    <xdr:graphicFrame macro="">
      <xdr:nvGraphicFramePr>
        <xdr:cNvPr id="13" name="Diagramm 1">
          <a:extLst>
            <a:ext uri="{FF2B5EF4-FFF2-40B4-BE49-F238E27FC236}">
              <a16:creationId xmlns:a16="http://schemas.microsoft.com/office/drawing/2014/main" id="{DBFDEAFF-969C-42B1-81A5-DF5DE10AA2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420283</xdr:colOff>
      <xdr:row>40</xdr:row>
      <xdr:rowOff>136986</xdr:rowOff>
    </xdr:from>
    <xdr:to>
      <xdr:col>9</xdr:col>
      <xdr:colOff>523099</xdr:colOff>
      <xdr:row>45</xdr:row>
      <xdr:rowOff>15243</xdr:rowOff>
    </xdr:to>
    <xdr:pic>
      <xdr:nvPicPr>
        <xdr:cNvPr id="11" name="Picture 10">
          <a:extLst>
            <a:ext uri="{FF2B5EF4-FFF2-40B4-BE49-F238E27FC236}">
              <a16:creationId xmlns:a16="http://schemas.microsoft.com/office/drawing/2014/main" id="{DAC98D7D-AD43-47C1-80E1-26B65557BE8C}"/>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57597" y="7604586"/>
          <a:ext cx="2465016" cy="803543"/>
        </a:xfrm>
        <a:prstGeom prst="rect">
          <a:avLst/>
        </a:prstGeom>
        <a:solidFill>
          <a:schemeClr val="bg1"/>
        </a:solidFill>
      </xdr:spPr>
    </xdr:pic>
    <xdr:clientData/>
  </xdr:twoCellAnchor>
  <xdr:twoCellAnchor>
    <xdr:from>
      <xdr:col>0</xdr:col>
      <xdr:colOff>0</xdr:colOff>
      <xdr:row>67</xdr:row>
      <xdr:rowOff>1084</xdr:rowOff>
    </xdr:from>
    <xdr:to>
      <xdr:col>11</xdr:col>
      <xdr:colOff>0</xdr:colOff>
      <xdr:row>99</xdr:row>
      <xdr:rowOff>190499</xdr:rowOff>
    </xdr:to>
    <xdr:graphicFrame macro="">
      <xdr:nvGraphicFramePr>
        <xdr:cNvPr id="10" name="Diagramm 1">
          <a:extLst>
            <a:ext uri="{FF2B5EF4-FFF2-40B4-BE49-F238E27FC236}">
              <a16:creationId xmlns:a16="http://schemas.microsoft.com/office/drawing/2014/main" id="{DD2231CB-87BA-4396-B1A8-D5156F105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110</xdr:row>
      <xdr:rowOff>1281</xdr:rowOff>
    </xdr:from>
    <xdr:to>
      <xdr:col>10</xdr:col>
      <xdr:colOff>605571</xdr:colOff>
      <xdr:row>149</xdr:row>
      <xdr:rowOff>158834</xdr:rowOff>
    </xdr:to>
    <xdr:graphicFrame macro="">
      <xdr:nvGraphicFramePr>
        <xdr:cNvPr id="12" name="Diagramm 1">
          <a:extLst>
            <a:ext uri="{FF2B5EF4-FFF2-40B4-BE49-F238E27FC236}">
              <a16:creationId xmlns:a16="http://schemas.microsoft.com/office/drawing/2014/main" id="{A4056786-36DA-42CB-8EBD-476647CD4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0.06597</cdr:x>
      <cdr:y>0.89016</cdr:y>
    </cdr:from>
    <cdr:to>
      <cdr:x>0.96015</cdr:x>
      <cdr:y>0.939</cdr:y>
    </cdr:to>
    <cdr:sp macro="" textlink="">
      <cdr:nvSpPr>
        <cdr:cNvPr id="3" name="TextBox 1">
          <a:extLst xmlns:a="http://schemas.openxmlformats.org/drawingml/2006/main">
            <a:ext uri="{FF2B5EF4-FFF2-40B4-BE49-F238E27FC236}">
              <a16:creationId xmlns:a16="http://schemas.microsoft.com/office/drawing/2014/main" id="{4AF06FF8-41F6-4933-BF6B-B395C7D599EF}"/>
            </a:ext>
          </a:extLst>
        </cdr:cNvPr>
        <cdr:cNvSpPr txBox="1"/>
      </cdr:nvSpPr>
      <cdr:spPr>
        <a:xfrm xmlns:a="http://schemas.openxmlformats.org/drawingml/2006/main">
          <a:off x="575138" y="4578539"/>
          <a:ext cx="7795656" cy="251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baseline="0">
              <a:solidFill>
                <a:schemeClr val="tx1">
                  <a:lumMod val="65000"/>
                  <a:lumOff val="35000"/>
                </a:schemeClr>
              </a:solidFill>
            </a:rPr>
            <a:t>10                 100              1kHz                 10kHz            100kHz              1MHz           10MHz          100MHz           1GHz             10GHz             100GHz</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hielding_ShieldingEffectiven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y"/>
      <sheetName val="35umCu"/>
      <sheetName val="17.5umCu"/>
      <sheetName val="1.5milAg"/>
      <sheetName val="SEBook0.1mm"/>
      <sheetName val="SEBook1mm"/>
      <sheetName val="ReBook1mm"/>
      <sheetName val="RmBook1mm"/>
      <sheetName val="ZtBook"/>
      <sheetName val="Slot"/>
      <sheetName val="Slots"/>
      <sheetName val="Grounding"/>
    </sheetNames>
    <sheetDataSet>
      <sheetData sheetId="0" refreshError="1"/>
      <sheetData sheetId="1" refreshError="1"/>
      <sheetData sheetId="2" refreshError="1"/>
      <sheetData sheetId="3" refreshError="1"/>
      <sheetData sheetId="4">
        <row r="12">
          <cell r="B12">
            <v>10</v>
          </cell>
          <cell r="D12">
            <v>165.35713981246784</v>
          </cell>
          <cell r="E12">
            <v>3.3790413726358076E-2</v>
          </cell>
          <cell r="F12">
            <v>-42.227628725585362</v>
          </cell>
          <cell r="G12">
            <v>123.16330150060884</v>
          </cell>
        </row>
        <row r="13">
          <cell r="B13">
            <v>11</v>
          </cell>
          <cell r="D13">
            <v>164.94321296088557</v>
          </cell>
          <cell r="E13">
            <v>3.5439684899534495E-2</v>
          </cell>
          <cell r="F13">
            <v>-41.815346286464077</v>
          </cell>
          <cell r="G13">
            <v>123.16330635932103</v>
          </cell>
        </row>
        <row r="14">
          <cell r="B14">
            <v>12.100000000000001</v>
          </cell>
          <cell r="D14">
            <v>164.52928610930331</v>
          </cell>
          <cell r="E14">
            <v>3.716945509899388E-2</v>
          </cell>
          <cell r="F14">
            <v>-41.403143997430369</v>
          </cell>
          <cell r="G14">
            <v>123.16331156697194</v>
          </cell>
        </row>
        <row r="15">
          <cell r="B15">
            <v>13.310000000000002</v>
          </cell>
          <cell r="D15">
            <v>164.11535925772108</v>
          </cell>
          <cell r="E15">
            <v>3.8983653389487949E-2</v>
          </cell>
          <cell r="F15">
            <v>-40.99102575933869</v>
          </cell>
          <cell r="G15">
            <v>123.16331715177188</v>
          </cell>
        </row>
        <row r="16">
          <cell r="B16">
            <v>14.641000000000004</v>
          </cell>
          <cell r="D16">
            <v>163.70143240613885</v>
          </cell>
          <cell r="E16">
            <v>4.0886400608893279E-2</v>
          </cell>
          <cell r="F16">
            <v>-40.578995662321809</v>
          </cell>
          <cell r="G16">
            <v>123.16332314442593</v>
          </cell>
        </row>
        <row r="17">
          <cell r="B17">
            <v>16.105100000000004</v>
          </cell>
          <cell r="D17">
            <v>163.28750555455659</v>
          </cell>
          <cell r="E17">
            <v>4.2882018728436742E-2</v>
          </cell>
          <cell r="F17">
            <v>-40.167057994917521</v>
          </cell>
          <cell r="G17">
            <v>123.16332957836752</v>
          </cell>
        </row>
        <row r="18">
          <cell r="B18">
            <v>17.715610000000005</v>
          </cell>
          <cell r="D18">
            <v>162.87357870297433</v>
          </cell>
          <cell r="E18">
            <v>4.4975040669782605E-2</v>
          </cell>
          <cell r="F18">
            <v>-39.75521725362939</v>
          </cell>
          <cell r="G18">
            <v>123.16333649001473</v>
          </cell>
        </row>
        <row r="19">
          <cell r="B19">
            <v>19.487171000000007</v>
          </cell>
          <cell r="D19">
            <v>162.4596518513921</v>
          </cell>
          <cell r="E19">
            <v>4.7170220601280413E-2</v>
          </cell>
          <cell r="F19">
            <v>-39.343478152942559</v>
          </cell>
          <cell r="G19">
            <v>123.16334391905082</v>
          </cell>
        </row>
        <row r="20">
          <cell r="B20">
            <v>21.43588810000001</v>
          </cell>
          <cell r="D20">
            <v>162.04572499980983</v>
          </cell>
          <cell r="E20">
            <v>4.9472544736760861E-2</v>
          </cell>
          <cell r="F20">
            <v>-38.931845635813779</v>
          </cell>
          <cell r="G20">
            <v>123.16335190873284</v>
          </cell>
        </row>
        <row r="21">
          <cell r="B21">
            <v>23.579476910000015</v>
          </cell>
          <cell r="D21">
            <v>161.63179814822757</v>
          </cell>
          <cell r="E21">
            <v>5.188724266140847E-2</v>
          </cell>
          <cell r="F21">
            <v>-38.52032488465953</v>
          </cell>
          <cell r="G21">
            <v>123.16336050622947</v>
          </cell>
        </row>
        <row r="22">
          <cell r="B22">
            <v>25.937424601000018</v>
          </cell>
          <cell r="D22">
            <v>161.21787129664534</v>
          </cell>
          <cell r="E22">
            <v>5.4419799210436971E-2</v>
          </cell>
          <cell r="F22">
            <v>-38.108921332863723</v>
          </cell>
          <cell r="G22">
            <v>123.16336976299206</v>
          </cell>
        </row>
        <row r="23">
          <cell r="B23">
            <v>28.531167061100021</v>
          </cell>
          <cell r="D23">
            <v>160.80394444506308</v>
          </cell>
          <cell r="E23">
            <v>5.7075966927549321E-2</v>
          </cell>
          <cell r="F23">
            <v>-37.697640676829039</v>
          </cell>
          <cell r="G23">
            <v>123.1633797351616</v>
          </cell>
        </row>
        <row r="24">
          <cell r="B24">
            <v>31.384283767210025</v>
          </cell>
          <cell r="D24">
            <v>160.39001759348082</v>
          </cell>
          <cell r="E24">
            <v>5.9861779131480664E-2</v>
          </cell>
          <cell r="F24">
            <v>-37.286488888596772</v>
          </cell>
          <cell r="G24">
            <v>123.16339048401551</v>
          </cell>
        </row>
        <row r="25">
          <cell r="B25">
            <v>34.522712143931031</v>
          </cell>
          <cell r="D25">
            <v>159.97609074189856</v>
          </cell>
          <cell r="E25">
            <v>6.2783563620304253E-2</v>
          </cell>
          <cell r="F25">
            <v>-36.875472229060755</v>
          </cell>
          <cell r="G25">
            <v>123.16340207645811</v>
          </cell>
        </row>
        <row r="26">
          <cell r="B26">
            <v>37.974983358324138</v>
          </cell>
          <cell r="D26">
            <v>159.56216389031633</v>
          </cell>
          <cell r="E26">
            <v>6.5847957044628744E-2</v>
          </cell>
          <cell r="F26">
            <v>-36.464597261802354</v>
          </cell>
          <cell r="G26">
            <v>123.16341458555861</v>
          </cell>
        </row>
        <row r="27">
          <cell r="B27">
            <v>41.772481694156554</v>
          </cell>
          <cell r="D27">
            <v>159.14823703873407</v>
          </cell>
          <cell r="E27">
            <v>6.9061919982334685E-2</v>
          </cell>
          <cell r="F27">
            <v>-36.053870867574489</v>
          </cell>
          <cell r="G27">
            <v>123.16342809114192</v>
          </cell>
        </row>
        <row r="28">
          <cell r="B28">
            <v>45.949729863572216</v>
          </cell>
          <cell r="D28">
            <v>158.73431018715183</v>
          </cell>
          <cell r="E28">
            <v>7.2432752749091625E-2</v>
          </cell>
          <cell r="F28">
            <v>-35.643300259463274</v>
          </cell>
          <cell r="G28">
            <v>123.16344268043764</v>
          </cell>
        </row>
        <row r="29">
          <cell r="B29">
            <v>50.544702849929443</v>
          </cell>
          <cell r="D29">
            <v>158.32038333556957</v>
          </cell>
          <cell r="E29">
            <v>7.5968111980568159E-2</v>
          </cell>
          <cell r="F29">
            <v>-35.232892998758146</v>
          </cell>
          <cell r="G29">
            <v>123.16345844879199</v>
          </cell>
        </row>
        <row r="30">
          <cell r="B30">
            <v>55.599173134922395</v>
          </cell>
          <cell r="D30">
            <v>157.90645648398731</v>
          </cell>
          <cell r="E30">
            <v>7.9676028024000783E-2</v>
          </cell>
          <cell r="F30">
            <v>-34.822657011561475</v>
          </cell>
          <cell r="G30">
            <v>123.16347550044985</v>
          </cell>
        </row>
        <row r="31">
          <cell r="B31">
            <v>61.159090448414638</v>
          </cell>
          <cell r="D31">
            <v>157.49252963240505</v>
          </cell>
          <cell r="E31">
            <v>8.3564923178624989E-2</v>
          </cell>
          <cell r="F31">
            <v>-34.412600606169889</v>
          </cell>
          <cell r="G31">
            <v>123.16349394941378</v>
          </cell>
        </row>
        <row r="32">
          <cell r="B32">
            <v>67.274999493256104</v>
          </cell>
          <cell r="D32">
            <v>157.07860278082282</v>
          </cell>
          <cell r="E32">
            <v>8.7643630826400878E-2</v>
          </cell>
          <cell r="F32">
            <v>-34.002732491262073</v>
          </cell>
          <cell r="G32">
            <v>123.16351392038715</v>
          </cell>
        </row>
        <row r="33">
          <cell r="B33">
            <v>74.002499442581723</v>
          </cell>
          <cell r="D33">
            <v>156.66467592924056</v>
          </cell>
          <cell r="E33">
            <v>9.192141549648751E-2</v>
          </cell>
          <cell r="F33">
            <v>-33.59306179492728</v>
          </cell>
          <cell r="G33">
            <v>123.16353554980978</v>
          </cell>
        </row>
        <row r="34">
          <cell r="B34">
            <v>81.402749386839901</v>
          </cell>
          <cell r="D34">
            <v>156.25074907765833</v>
          </cell>
          <cell r="E34">
            <v>9.6407993909040979E-2</v>
          </cell>
          <cell r="F34">
            <v>-33.183598084571251</v>
          </cell>
          <cell r="G34">
            <v>123.16355898699612</v>
          </cell>
        </row>
        <row r="35">
          <cell r="B35">
            <v>89.543024325523902</v>
          </cell>
          <cell r="D35">
            <v>155.83682222607607</v>
          </cell>
          <cell r="E35">
            <v>0.10111355704613625</v>
          </cell>
          <cell r="F35">
            <v>-32.774351387737418</v>
          </cell>
          <cell r="G35">
            <v>123.16358439538479</v>
          </cell>
        </row>
        <row r="36">
          <cell r="B36">
            <v>98.497326758076298</v>
          </cell>
          <cell r="D36">
            <v>155.42289537449381</v>
          </cell>
          <cell r="E36">
            <v>0.10604879329994508</v>
          </cell>
          <cell r="F36">
            <v>-32.365332213882013</v>
          </cell>
          <cell r="G36">
            <v>123.16361195391174</v>
          </cell>
        </row>
        <row r="37">
          <cell r="B37">
            <v>108.34705943388394</v>
          </cell>
          <cell r="D37">
            <v>155.00896852291157</v>
          </cell>
          <cell r="E37">
            <v>0.11122491275074989</v>
          </cell>
          <cell r="F37">
            <v>-31.95655157714393</v>
          </cell>
          <cell r="G37">
            <v>123.16364185851839</v>
          </cell>
        </row>
        <row r="38">
          <cell r="B38">
            <v>119.18176537727234</v>
          </cell>
          <cell r="D38">
            <v>154.59504167132931</v>
          </cell>
          <cell r="E38">
            <v>0.11665367262993959</v>
          </cell>
          <cell r="F38">
            <v>-31.548021020150312</v>
          </cell>
          <cell r="G38">
            <v>123.16367432380895</v>
          </cell>
        </row>
        <row r="39">
          <cell r="B39">
            <v>131.09994191499959</v>
          </cell>
          <cell r="D39">
            <v>154.18111481974708</v>
          </cell>
          <cell r="E39">
            <v>0.12234740402582489</v>
          </cell>
          <cell r="F39">
            <v>-31.139752638902035</v>
          </cell>
          <cell r="G39">
            <v>123.16370958487086</v>
          </cell>
        </row>
        <row r="40">
          <cell r="B40">
            <v>144.20993610649955</v>
          </cell>
          <cell r="D40">
            <v>153.76718796816482</v>
          </cell>
          <cell r="E40">
            <v>0.12831903989293356</v>
          </cell>
          <cell r="F40">
            <v>-30.731759108782185</v>
          </cell>
          <cell r="G40">
            <v>123.16374789927558</v>
          </cell>
        </row>
        <row r="41">
          <cell r="B41">
            <v>158.63092971714951</v>
          </cell>
          <cell r="D41">
            <v>153.35326111658256</v>
          </cell>
          <cell r="E41">
            <v>0.13458214442840738</v>
          </cell>
          <cell r="F41">
            <v>-30.324053711734539</v>
          </cell>
          <cell r="G41">
            <v>123.16378954927643</v>
          </cell>
        </row>
        <row r="42">
          <cell r="B42">
            <v>174.49402268886448</v>
          </cell>
          <cell r="D42">
            <v>152.9393342650003</v>
          </cell>
          <cell r="E42">
            <v>0.14115094388222693</v>
          </cell>
          <cell r="F42">
            <v>-29.916650364658036</v>
          </cell>
          <cell r="G42">
            <v>123.16383484422448</v>
          </cell>
        </row>
        <row r="43">
          <cell r="B43">
            <v>191.94342495775095</v>
          </cell>
          <cell r="D43">
            <v>152.52540741341807</v>
          </cell>
          <cell r="E43">
            <v>0.14804035887124811</v>
          </cell>
          <cell r="F43">
            <v>-29.509563649066518</v>
          </cell>
          <cell r="G43">
            <v>123.16388412322279</v>
          </cell>
        </row>
        <row r="44">
          <cell r="B44">
            <v>211.13776745352607</v>
          </cell>
          <cell r="D44">
            <v>152.1114805618358</v>
          </cell>
          <cell r="E44">
            <v>0.15526603827044966</v>
          </cell>
          <cell r="F44">
            <v>-29.102808842062736</v>
          </cell>
          <cell r="G44">
            <v>123.16393775804352</v>
          </cell>
        </row>
        <row r="45">
          <cell r="B45">
            <v>232.25154419887869</v>
          </cell>
          <cell r="D45">
            <v>151.69755371025357</v>
          </cell>
          <cell r="E45">
            <v>0.16284439475837295</v>
          </cell>
          <cell r="F45">
            <v>-28.696401948677853</v>
          </cell>
          <cell r="G45">
            <v>123.16399615633409</v>
          </cell>
        </row>
        <row r="46">
          <cell r="B46">
            <v>255.47669861876659</v>
          </cell>
          <cell r="D46">
            <v>151.28362685867131</v>
          </cell>
          <cell r="E46">
            <v>0.17079264209749459</v>
          </cell>
          <cell r="F46">
            <v>-28.290359735628371</v>
          </cell>
          <cell r="G46">
            <v>123.16405976514044</v>
          </cell>
        </row>
        <row r="47">
          <cell r="B47">
            <v>281.02436848064326</v>
          </cell>
          <cell r="D47">
            <v>150.86970000708905</v>
          </cell>
          <cell r="E47">
            <v>0.17912883423421025</v>
          </cell>
          <cell r="F47">
            <v>-27.884699766543392</v>
          </cell>
          <cell r="G47">
            <v>123.16412907477986</v>
          </cell>
        </row>
        <row r="48">
          <cell r="B48">
            <v>309.12680532870763</v>
          </cell>
          <cell r="D48">
            <v>150.45577315550679</v>
          </cell>
          <cell r="E48">
            <v>0.1878719063072441</v>
          </cell>
          <cell r="F48">
            <v>-27.479440438716495</v>
          </cell>
          <cell r="G48">
            <v>123.16420462309753</v>
          </cell>
        </row>
        <row r="49">
          <cell r="B49">
            <v>340.03948586157844</v>
          </cell>
          <cell r="D49">
            <v>150.04184630392456</v>
          </cell>
          <cell r="E49">
            <v>0.19704171765763132</v>
          </cell>
          <cell r="F49">
            <v>-27.074601021437278</v>
          </cell>
          <cell r="G49">
            <v>123.16428700014492</v>
          </cell>
        </row>
        <row r="50">
          <cell r="B50">
            <v>374.04343444773633</v>
          </cell>
          <cell r="D50">
            <v>149.6279194523423</v>
          </cell>
          <cell r="E50">
            <v>0.20665909693796852</v>
          </cell>
          <cell r="F50">
            <v>-26.670201695957857</v>
          </cell>
          <cell r="G50">
            <v>123.16437685332239</v>
          </cell>
        </row>
        <row r="51">
          <cell r="B51">
            <v>411.44777789250998</v>
          </cell>
          <cell r="D51">
            <v>149.21399260076006</v>
          </cell>
          <cell r="E51">
            <v>0.21674588942339448</v>
          </cell>
          <cell r="F51">
            <v>-26.266263597151006</v>
          </cell>
          <cell r="G51">
            <v>123.16447489303246</v>
          </cell>
        </row>
        <row r="52">
          <cell r="B52">
            <v>452.59255568176098</v>
          </cell>
          <cell r="D52">
            <v>148.8000657491778</v>
          </cell>
          <cell r="E52">
            <v>0.22732500663176539</v>
          </cell>
          <cell r="F52">
            <v>-25.862808856916363</v>
          </cell>
          <cell r="G52">
            <v>123.1645818988932</v>
          </cell>
        </row>
        <row r="53">
          <cell r="B53">
            <v>497.8518112499371</v>
          </cell>
          <cell r="D53">
            <v>148.38613889759554</v>
          </cell>
          <cell r="E53">
            <v>0.23842047836573393</v>
          </cell>
          <cell r="F53">
            <v>-25.459860649391779</v>
          </cell>
          <cell r="G53">
            <v>123.1646987265695</v>
          </cell>
        </row>
        <row r="54">
          <cell r="B54">
            <v>547.63699237493086</v>
          </cell>
          <cell r="D54">
            <v>147.97221204601331</v>
          </cell>
          <cell r="E54">
            <v>0.25005750729494197</v>
          </cell>
          <cell r="F54">
            <v>-25.057443238026288</v>
          </cell>
          <cell r="G54">
            <v>123.16482631528197</v>
          </cell>
        </row>
        <row r="55">
          <cell r="B55">
            <v>602.400691612424</v>
          </cell>
          <cell r="D55">
            <v>147.55828519443105</v>
          </cell>
          <cell r="E55">
            <v>0.26226252620230733</v>
          </cell>
          <cell r="F55">
            <v>-24.655582024571572</v>
          </cell>
          <cell r="G55">
            <v>123.16496569606178</v>
          </cell>
        </row>
        <row r="56">
          <cell r="B56">
            <v>662.64076077366644</v>
          </cell>
          <cell r="D56">
            <v>147.14435834284879</v>
          </cell>
          <cell r="E56">
            <v>0.27506325802443615</v>
          </cell>
          <cell r="F56">
            <v>-24.254303600047436</v>
          </cell>
          <cell r="G56">
            <v>123.16511800082579</v>
          </cell>
        </row>
        <row r="57">
          <cell r="B57">
            <v>728.90483685103311</v>
          </cell>
          <cell r="D57">
            <v>146.73043149126656</v>
          </cell>
          <cell r="E57">
            <v>0.28848877882253809</v>
          </cell>
          <cell r="F57">
            <v>-23.853635797735983</v>
          </cell>
          <cell r="G57">
            <v>123.16528447235311</v>
          </cell>
        </row>
        <row r="58">
          <cell r="B58">
            <v>801.7953205361365</v>
          </cell>
          <cell r="D58">
            <v>146.3165046396843</v>
          </cell>
          <cell r="E58">
            <v>0.30256958382687982</v>
          </cell>
          <cell r="F58">
            <v>-23.453607748258086</v>
          </cell>
          <cell r="G58">
            <v>123.16546647525308</v>
          </cell>
        </row>
        <row r="59">
          <cell r="B59">
            <v>881.97485258975018</v>
          </cell>
          <cell r="D59">
            <v>145.90257778810206</v>
          </cell>
          <cell r="E59">
            <v>0.31733765670479192</v>
          </cell>
          <cell r="F59">
            <v>-23.054249936783229</v>
          </cell>
          <cell r="G59">
            <v>123.16566550802361</v>
          </cell>
        </row>
        <row r="60">
          <cell r="B60">
            <v>970.17233784872531</v>
          </cell>
          <cell r="D60">
            <v>145.4886509365198</v>
          </cell>
          <cell r="E60">
            <v>0.33282654220956781</v>
          </cell>
          <cell r="F60">
            <v>-22.655594262421612</v>
          </cell>
          <cell r="G60">
            <v>123.16588321630776</v>
          </cell>
        </row>
        <row r="61">
          <cell r="B61">
            <v>1067.189571633598</v>
          </cell>
          <cell r="D61">
            <v>145.07472408493754</v>
          </cell>
          <cell r="E61">
            <v>0.34907142237527117</v>
          </cell>
          <cell r="F61">
            <v>-22.257674099844408</v>
          </cell>
          <cell r="G61">
            <v>123.1661214074684</v>
          </cell>
        </row>
        <row r="62">
          <cell r="B62">
            <v>1173.9085287969579</v>
          </cell>
          <cell r="D62">
            <v>144.66079723335528</v>
          </cell>
          <cell r="E62">
            <v>0.36610919643052459</v>
          </cell>
          <cell r="F62">
            <v>-21.860524363173937</v>
          </cell>
          <cell r="G62">
            <v>123.16638206661187</v>
          </cell>
        </row>
        <row r="63">
          <cell r="B63">
            <v>1291.2993816766536</v>
          </cell>
          <cell r="D63">
            <v>144.24687038177305</v>
          </cell>
          <cell r="E63">
            <v>0.38397856461279833</v>
          </cell>
          <cell r="F63">
            <v>-21.464181572181282</v>
          </cell>
          <cell r="G63">
            <v>123.16666737420456</v>
          </cell>
        </row>
        <row r="64">
          <cell r="B64">
            <v>1420.429319844319</v>
          </cell>
          <cell r="D64">
            <v>143.83294353019079</v>
          </cell>
          <cell r="E64">
            <v>0.40272011607357705</v>
          </cell>
          <cell r="F64">
            <v>-21.06868392082324</v>
          </cell>
          <cell r="G64">
            <v>123.16697972544111</v>
          </cell>
        </row>
        <row r="65">
          <cell r="B65">
            <v>1562.472251828751</v>
          </cell>
          <cell r="D65">
            <v>143.41901667860856</v>
          </cell>
          <cell r="E65">
            <v>0.42237642107407808</v>
          </cell>
          <cell r="F65">
            <v>-20.674071348144114</v>
          </cell>
          <cell r="G65">
            <v>123.16732175153854</v>
          </cell>
        </row>
        <row r="66">
          <cell r="B66">
            <v>1718.7194770116264</v>
          </cell>
          <cell r="D66">
            <v>143.0050898270263</v>
          </cell>
          <cell r="E66">
            <v>0.44299212768093482</v>
          </cell>
          <cell r="F66">
            <v>-20.28038561156038</v>
          </cell>
          <cell r="G66">
            <v>123.16769634314684</v>
          </cell>
        </row>
        <row r="67">
          <cell r="B67">
            <v>1890.5914247127891</v>
          </cell>
          <cell r="D67">
            <v>142.59116297544404</v>
          </cell>
          <cell r="E67">
            <v>0.46461406318148596</v>
          </cell>
          <cell r="F67">
            <v>-19.887670362537509</v>
          </cell>
          <cell r="G67">
            <v>123.16810667608803</v>
          </cell>
        </row>
        <row r="68">
          <cell r="B68">
            <v>2079.6505671840682</v>
          </cell>
          <cell r="D68">
            <v>142.17723612386177</v>
          </cell>
          <cell r="E68">
            <v>0.48729134044902839</v>
          </cell>
          <cell r="F68">
            <v>-19.495971224658032</v>
          </cell>
          <cell r="G68">
            <v>123.16855623965276</v>
          </cell>
        </row>
        <row r="69">
          <cell r="B69">
            <v>2287.6156239024754</v>
          </cell>
          <cell r="D69">
            <v>141.76330927227954</v>
          </cell>
          <cell r="E69">
            <v>0.51107546949963467</v>
          </cell>
          <cell r="F69">
            <v>-19.105335874068622</v>
          </cell>
          <cell r="G69">
            <v>123.16904886771056</v>
          </cell>
        </row>
        <row r="70">
          <cell r="B70">
            <v>2516.3771862927233</v>
          </cell>
          <cell r="D70">
            <v>141.34938242069728</v>
          </cell>
          <cell r="E70">
            <v>0.53602047449393131</v>
          </cell>
          <cell r="F70">
            <v>-18.715814122280207</v>
          </cell>
          <cell r="G70">
            <v>123.16958877291101</v>
          </cell>
        </row>
        <row r="71">
          <cell r="B71">
            <v>2768.0149049219958</v>
          </cell>
          <cell r="D71">
            <v>140.93545556911505</v>
          </cell>
          <cell r="E71">
            <v>0.56218301644959812</v>
          </cell>
          <cell r="F71">
            <v>-18.327458001280444</v>
          </cell>
          <cell r="G71">
            <v>123.17018058428421</v>
          </cell>
        </row>
        <row r="72">
          <cell r="B72">
            <v>3044.8163954141955</v>
          </cell>
          <cell r="D72">
            <v>140.52152871753279</v>
          </cell>
          <cell r="E72">
            <v>0.58962252194332432</v>
          </cell>
          <cell r="F72">
            <v>-17.940321850900361</v>
          </cell>
          <cell r="G72">
            <v>123.17082938857574</v>
          </cell>
        </row>
        <row r="73">
          <cell r="B73">
            <v>3349.2980349556155</v>
          </cell>
          <cell r="D73">
            <v>140.10760186595053</v>
          </cell>
          <cell r="E73">
            <v>0.61840131809455801</v>
          </cell>
          <cell r="F73">
            <v>-17.554462408357473</v>
          </cell>
          <cell r="G73">
            <v>123.17154077568762</v>
          </cell>
        </row>
        <row r="74">
          <cell r="B74">
            <v>3684.2278384511774</v>
          </cell>
          <cell r="D74">
            <v>139.6936750143683</v>
          </cell>
          <cell r="E74">
            <v>0.64858477413765681</v>
          </cell>
          <cell r="F74">
            <v>-17.169938899875699</v>
          </cell>
          <cell r="G74">
            <v>123.17232088863024</v>
          </cell>
        </row>
        <row r="75">
          <cell r="B75">
            <v>4052.6506222962953</v>
          </cell>
          <cell r="D75">
            <v>139.27974816278603</v>
          </cell>
          <cell r="E75">
            <v>0.68024144990401381</v>
          </cell>
          <cell r="F75">
            <v>-16.78681313425755</v>
          </cell>
          <cell r="G75">
            <v>123.17317647843248</v>
          </cell>
        </row>
        <row r="76">
          <cell r="B76">
            <v>4457.9156845259249</v>
          </cell>
          <cell r="D76">
            <v>138.8658213112038</v>
          </cell>
          <cell r="E76">
            <v>0.71344325155142263</v>
          </cell>
          <cell r="F76">
            <v>-16.405149598255846</v>
          </cell>
          <cell r="G76">
            <v>123.17411496449937</v>
          </cell>
        </row>
        <row r="77">
          <cell r="B77">
            <v>4903.7072529785182</v>
          </cell>
          <cell r="D77">
            <v>138.45189445962154</v>
          </cell>
          <cell r="E77">
            <v>0.74826559489441535</v>
          </cell>
          <cell r="F77">
            <v>-16.025015553561317</v>
          </cell>
          <cell r="G77">
            <v>123.17514450095463</v>
          </cell>
        </row>
        <row r="78">
          <cell r="B78">
            <v>5394.0779782763702</v>
          </cell>
          <cell r="D78">
            <v>138.03796760803928</v>
          </cell>
          <cell r="E78">
            <v>0.78478757670656507</v>
          </cell>
          <cell r="F78">
            <v>-15.646481135186804</v>
          </cell>
          <cell r="G78">
            <v>123.17627404955905</v>
          </cell>
        </row>
        <row r="79">
          <cell r="B79">
            <v>5933.4857761040075</v>
          </cell>
          <cell r="D79">
            <v>137.62404075645702</v>
          </cell>
          <cell r="E79">
            <v>0.82309215438385697</v>
          </cell>
          <cell r="F79">
            <v>-15.26961945098995</v>
          </cell>
          <cell r="G79">
            <v>123.17751345985093</v>
          </cell>
        </row>
        <row r="80">
          <cell r="B80">
            <v>6526.8343537144092</v>
          </cell>
          <cell r="D80">
            <v>137.21011390487479</v>
          </cell>
          <cell r="E80">
            <v>0.86326633437722167</v>
          </cell>
          <cell r="F80">
            <v>-14.894506682032421</v>
          </cell>
          <cell r="G80">
            <v>123.17887355721959</v>
          </cell>
        </row>
        <row r="81">
          <cell r="B81">
            <v>7179.5177890858504</v>
          </cell>
          <cell r="D81">
            <v>136.79618705329253</v>
          </cell>
          <cell r="E81">
            <v>0.90540136982224284</v>
          </cell>
          <cell r="F81">
            <v>-14.521222183424962</v>
          </cell>
          <cell r="G81">
            <v>123.1803662396898</v>
          </cell>
        </row>
        <row r="82">
          <cell r="B82">
            <v>7897.4695679944361</v>
          </cell>
          <cell r="D82">
            <v>136.3822602017103</v>
          </cell>
          <cell r="E82">
            <v>0.94959296781494384</v>
          </cell>
          <cell r="F82">
            <v>-14.149848585253633</v>
          </cell>
          <cell r="G82">
            <v>123.1820045842716</v>
          </cell>
        </row>
        <row r="83">
          <cell r="B83">
            <v>8687.216524793881</v>
          </cell>
          <cell r="D83">
            <v>135.96833335012803</v>
          </cell>
          <cell r="E83">
            <v>0.99594150680446714</v>
          </cell>
          <cell r="F83">
            <v>-13.780471893122751</v>
          </cell>
          <cell r="G83">
            <v>123.18380296380974</v>
          </cell>
        </row>
        <row r="84">
          <cell r="B84">
            <v>9555.9381772732704</v>
          </cell>
          <cell r="D84">
            <v>135.55440649854577</v>
          </cell>
          <cell r="E84">
            <v>1.0445522645964382</v>
          </cell>
          <cell r="F84">
            <v>-13.41318158778359</v>
          </cell>
          <cell r="G84">
            <v>123.18577717535862</v>
          </cell>
        </row>
        <row r="85">
          <cell r="B85">
            <v>10511.531995000598</v>
          </cell>
          <cell r="D85">
            <v>135.14047964696351</v>
          </cell>
          <cell r="E85">
            <v>1.095535657484914</v>
          </cell>
          <cell r="F85">
            <v>-13.048070723244766</v>
          </cell>
          <cell r="G85">
            <v>123.18794458120365</v>
          </cell>
        </row>
        <row r="86">
          <cell r="B86">
            <v>11562.685194500658</v>
          </cell>
          <cell r="D86">
            <v>134.72655279538128</v>
          </cell>
          <cell r="E86">
            <v>1.1490074910560821</v>
          </cell>
          <cell r="F86">
            <v>-12.685236022679632</v>
          </cell>
          <cell r="G86">
            <v>123.19032426375772</v>
          </cell>
        </row>
        <row r="87">
          <cell r="B87">
            <v>12718.953713950725</v>
          </cell>
          <cell r="D87">
            <v>134.31262594379902</v>
          </cell>
          <cell r="E87">
            <v>1.2050892232334052</v>
          </cell>
          <cell r="F87">
            <v>-12.32477797135698</v>
          </cell>
          <cell r="G87">
            <v>123.19293719567546</v>
          </cell>
        </row>
        <row r="88">
          <cell r="B88">
            <v>13990.849085345799</v>
          </cell>
          <cell r="D88">
            <v>133.89869909221679</v>
          </cell>
          <cell r="E88">
            <v>1.2639082401616906</v>
          </cell>
          <cell r="F88">
            <v>-11.96680090572406</v>
          </cell>
          <cell r="G88">
            <v>123.19580642665443</v>
          </cell>
        </row>
        <row r="89">
          <cell r="B89">
            <v>15389.933993880381</v>
          </cell>
          <cell r="D89">
            <v>133.48477224063453</v>
          </cell>
          <cell r="E89">
            <v>1.325598145556746</v>
          </cell>
          <cell r="F89">
            <v>-11.611413097664007</v>
          </cell>
          <cell r="G89">
            <v>123.19895728852725</v>
          </cell>
        </row>
        <row r="90">
          <cell r="B90">
            <v>16928.927393268419</v>
          </cell>
          <cell r="D90">
            <v>133.07084538905227</v>
          </cell>
          <cell r="E90">
            <v>1.3902990641778599</v>
          </cell>
          <cell r="F90">
            <v>-11.25872683283302</v>
          </cell>
          <cell r="G90">
            <v>123.20241762039711</v>
          </cell>
        </row>
        <row r="91">
          <cell r="B91">
            <v>18621.820132595261</v>
          </cell>
          <cell r="D91">
            <v>132.65691853747003</v>
          </cell>
          <cell r="E91">
            <v>1.4581579601124206</v>
          </cell>
          <cell r="F91">
            <v>-10.90885848185531</v>
          </cell>
          <cell r="G91">
            <v>123.20621801572716</v>
          </cell>
        </row>
        <row r="92">
          <cell r="B92">
            <v>20484.002145854789</v>
          </cell>
          <cell r="D92">
            <v>132.24299168588777</v>
          </cell>
          <cell r="E92">
            <v>1.5293289705956454</v>
          </cell>
          <cell r="F92">
            <v>-10.561928563015448</v>
          </cell>
          <cell r="G92">
            <v>123.21039209346799</v>
          </cell>
        </row>
        <row r="93">
          <cell r="B93">
            <v>22532.402360440268</v>
          </cell>
          <cell r="D93">
            <v>131.82906483430551</v>
          </cell>
          <cell r="E93">
            <v>1.6039737561236629</v>
          </cell>
          <cell r="F93">
            <v>-10.218061794937432</v>
          </cell>
          <cell r="G93">
            <v>123.21497679549174</v>
          </cell>
        </row>
        <row r="94">
          <cell r="B94">
            <v>24785.642596484297</v>
          </cell>
          <cell r="D94">
            <v>131.41513798272328</v>
          </cell>
          <cell r="E94">
            <v>1.6822618676552104</v>
          </cell>
          <cell r="F94">
            <v>-9.8773871375776299</v>
          </cell>
          <cell r="G94">
            <v>123.22001271280085</v>
          </cell>
        </row>
        <row r="95">
          <cell r="B95">
            <v>27264.206856132729</v>
          </cell>
          <cell r="D95">
            <v>131.00121113114102</v>
          </cell>
          <cell r="E95">
            <v>1.7643711317360291</v>
          </cell>
          <cell r="F95">
            <v>-9.5400378196837679</v>
          </cell>
          <cell r="G95">
            <v>123.22554444319329</v>
          </cell>
        </row>
        <row r="96">
          <cell r="B96">
            <v>29990.627541746006</v>
          </cell>
          <cell r="D96">
            <v>130.58728427955879</v>
          </cell>
          <cell r="E96">
            <v>1.8504880544207318</v>
          </cell>
          <cell r="F96">
            <v>-9.2061513506845607</v>
          </cell>
          <cell r="G96">
            <v>123.23162098329496</v>
          </cell>
        </row>
        <row r="97">
          <cell r="B97">
            <v>32989.690295920605</v>
          </cell>
          <cell r="D97">
            <v>130.17335742797653</v>
          </cell>
          <cell r="E97">
            <v>1.940808244909632</v>
          </cell>
          <cell r="F97">
            <v>-8.8758695147740756</v>
          </cell>
          <cell r="G97">
            <v>123.23829615811206</v>
          </cell>
        </row>
        <row r="98">
          <cell r="B98">
            <v>36288.659325512672</v>
          </cell>
          <cell r="D98">
            <v>129.75943057639427</v>
          </cell>
          <cell r="E98">
            <v>2.0355368598628054</v>
          </cell>
          <cell r="F98">
            <v>-8.549338344741841</v>
          </cell>
          <cell r="G98">
            <v>123.24562909151524</v>
          </cell>
        </row>
        <row r="99">
          <cell r="B99">
            <v>39917.525258063943</v>
          </cell>
          <cell r="D99">
            <v>129.345503724812</v>
          </cell>
          <cell r="E99">
            <v>2.1348890694005958</v>
          </cell>
          <cell r="F99">
            <v>-8.2267080728744961</v>
          </cell>
          <cell r="G99">
            <v>123.2536847213381</v>
          </cell>
        </row>
        <row r="100">
          <cell r="B100">
            <v>43909.27778387034</v>
          </cell>
          <cell r="D100">
            <v>128.93157687322977</v>
          </cell>
          <cell r="E100">
            <v>2.239090545849086</v>
          </cell>
          <cell r="F100">
            <v>-7.9081330560182348</v>
          </cell>
          <cell r="G100">
            <v>123.26253436306062</v>
          </cell>
        </row>
        <row r="101">
          <cell r="B101">
            <v>48300.205562257375</v>
          </cell>
          <cell r="D101">
            <v>128.51765002164751</v>
          </cell>
          <cell r="E101">
            <v>2.3483779763406556</v>
          </cell>
          <cell r="F101">
            <v>-7.5937716716451185</v>
          </cell>
          <cell r="G101">
            <v>123.27225632634305</v>
          </cell>
        </row>
        <row r="102">
          <cell r="B102">
            <v>53130.226118483115</v>
          </cell>
          <cell r="D102">
            <v>128.10372317006528</v>
          </cell>
          <cell r="E102">
            <v>2.4629996004339945</v>
          </cell>
          <cell r="F102">
            <v>-7.2837861815120437</v>
          </cell>
          <cell r="G102">
            <v>123.28293658898723</v>
          </cell>
        </row>
        <row r="103">
          <cell r="B103">
            <v>58443.248730331434</v>
          </cell>
          <cell r="D103">
            <v>127.68979631848302</v>
          </cell>
          <cell r="E103">
            <v>2.5832157739747212</v>
          </cell>
          <cell r="F103">
            <v>-6.9783425592420167</v>
          </cell>
          <cell r="G103">
            <v>123.29466953321572</v>
          </cell>
        </row>
        <row r="104">
          <cell r="B104">
            <v>64287.573603364581</v>
          </cell>
          <cell r="D104">
            <v>127.27586946690076</v>
          </cell>
          <cell r="E104">
            <v>2.709299560477394</v>
          </cell>
          <cell r="F104">
            <v>-6.6776102778965196</v>
          </cell>
          <cell r="G104">
            <v>123.30755874948164</v>
          </cell>
        </row>
        <row r="105">
          <cell r="B105">
            <v>70716.330963701039</v>
          </cell>
          <cell r="D105">
            <v>126.86194261531851</v>
          </cell>
          <cell r="E105">
            <v>2.8415373513721933</v>
          </cell>
          <cell r="F105">
            <v>-6.3817620533503936</v>
          </cell>
          <cell r="G105">
            <v>123.32171791334031</v>
          </cell>
        </row>
        <row r="106">
          <cell r="B106">
            <v>77787.964060071143</v>
          </cell>
          <cell r="D106">
            <v>126.44801576373627</v>
          </cell>
          <cell r="E106">
            <v>2.9802295165251333</v>
          </cell>
          <cell r="F106">
            <v>-6.0909735390323299</v>
          </cell>
          <cell r="G106">
            <v>123.33727174122906</v>
          </cell>
        </row>
        <row r="107">
          <cell r="B107">
            <v>85566.760466078267</v>
          </cell>
          <cell r="D107">
            <v>126.03408891215402</v>
          </cell>
          <cell r="E107">
            <v>3.1256910865094127</v>
          </cell>
          <cell r="F107">
            <v>-5.8054229673627162</v>
          </cell>
          <cell r="G107">
            <v>123.35435703130071</v>
          </cell>
        </row>
        <row r="108">
          <cell r="B108">
            <v>94123.436512686108</v>
          </cell>
          <cell r="D108">
            <v>125.62016206057177</v>
          </cell>
          <cell r="E108">
            <v>3.2782524681776466</v>
          </cell>
          <cell r="F108">
            <v>-5.525290733015213</v>
          </cell>
          <cell r="G108">
            <v>123.3731237957342</v>
          </cell>
        </row>
        <row r="109">
          <cell r="B109">
            <v>103535.78016395473</v>
          </cell>
          <cell r="D109">
            <v>125.20623520898951</v>
          </cell>
          <cell r="E109">
            <v>3.4382601951603542</v>
          </cell>
          <cell r="F109">
            <v>-5.2507589129605305</v>
          </cell>
          <cell r="G109">
            <v>123.39373649118933</v>
          </cell>
        </row>
        <row r="110">
          <cell r="B110">
            <v>113889.3581803502</v>
          </cell>
          <cell r="D110">
            <v>124.79230835740725</v>
          </cell>
          <cell r="E110">
            <v>3.6060777149954122</v>
          </cell>
          <cell r="F110">
            <v>-4.9820107181343527</v>
          </cell>
          <cell r="G110">
            <v>123.41637535426833</v>
          </cell>
        </row>
        <row r="111">
          <cell r="B111">
            <v>125278.29399838523</v>
          </cell>
          <cell r="D111">
            <v>124.378381505825</v>
          </cell>
          <cell r="E111">
            <v>3.7820862146763896</v>
          </cell>
          <cell r="F111">
            <v>-4.7192298715221774</v>
          </cell>
          <cell r="G111">
            <v>123.44123784897923</v>
          </cell>
        </row>
        <row r="112">
          <cell r="B112">
            <v>137806.12339822375</v>
          </cell>
          <cell r="D112">
            <v>123.96445465424277</v>
          </cell>
          <cell r="E112">
            <v>3.9666854864949532</v>
          </cell>
          <cell r="F112">
            <v>-4.4625999074917724</v>
          </cell>
          <cell r="G112">
            <v>123.46854023324595</v>
          </cell>
        </row>
        <row r="113">
          <cell r="B113">
            <v>151586.73573804615</v>
          </cell>
          <cell r="D113">
            <v>123.55052780266051</v>
          </cell>
          <cell r="E113">
            <v>4.1602948361440291</v>
          </cell>
          <cell r="F113">
            <v>-4.2123033873516249</v>
          </cell>
          <cell r="G113">
            <v>123.49851925145292</v>
          </cell>
        </row>
        <row r="114">
          <cell r="B114">
            <v>166745.40931185079</v>
          </cell>
          <cell r="D114">
            <v>123.13660095107826</v>
          </cell>
          <cell r="E114">
            <v>4.3633540351444484</v>
          </cell>
          <cell r="F114">
            <v>-3.9685210263967541</v>
          </cell>
          <cell r="G114">
            <v>123.53143395982596</v>
          </cell>
        </row>
        <row r="115">
          <cell r="B115">
            <v>183419.95024303588</v>
          </cell>
          <cell r="D115">
            <v>122.722674099496</v>
          </cell>
          <cell r="E115">
            <v>4.5763243197584327</v>
          </cell>
          <cell r="F115">
            <v>-3.7314307281522203</v>
          </cell>
          <cell r="G115">
            <v>123.56756769110221</v>
          </cell>
        </row>
        <row r="116">
          <cell r="B116">
            <v>201761.9452673395</v>
          </cell>
          <cell r="D116">
            <v>122.30874724791376</v>
          </cell>
          <cell r="E116">
            <v>4.799689438658894</v>
          </cell>
          <cell r="F116">
            <v>-3.5012065221722088</v>
          </cell>
          <cell r="G116">
            <v>123.60723016440043</v>
          </cell>
        </row>
        <row r="117">
          <cell r="B117">
            <v>221938.13979407348</v>
          </cell>
          <cell r="D117">
            <v>121.8948203963315</v>
          </cell>
          <cell r="E117">
            <v>5.0339567517342765</v>
          </cell>
          <cell r="F117">
            <v>-3.2780174026360354</v>
          </cell>
          <cell r="G117">
            <v>123.65075974542974</v>
          </cell>
        </row>
        <row r="118">
          <cell r="B118">
            <v>244131.95377348084</v>
          </cell>
          <cell r="D118">
            <v>121.48089354474925</v>
          </cell>
          <cell r="E118">
            <v>5.2796583825247847</v>
          </cell>
          <cell r="F118">
            <v>-3.062026066141819</v>
          </cell>
          <cell r="G118">
            <v>123.69852586113221</v>
          </cell>
        </row>
        <row r="119">
          <cell r="B119">
            <v>268545.14915082895</v>
          </cell>
          <cell r="D119">
            <v>121.06696669316702</v>
          </cell>
          <cell r="E119">
            <v>5.537352426907705</v>
          </cell>
          <cell r="F119">
            <v>-2.8533875485758382</v>
          </cell>
          <cell r="G119">
            <v>123.75093157149888</v>
          </cell>
        </row>
        <row r="120">
          <cell r="B120">
            <v>295399.66406591184</v>
          </cell>
          <cell r="D120">
            <v>120.65303984158476</v>
          </cell>
          <cell r="E120">
            <v>5.8076242207772628</v>
          </cell>
          <cell r="F120">
            <v>-2.652247762774238</v>
          </cell>
          <cell r="G120">
            <v>123.80841629958778</v>
          </cell>
        </row>
        <row r="121">
          <cell r="B121">
            <v>324939.63047250308</v>
          </cell>
          <cell r="D121">
            <v>120.2391129900025</v>
          </cell>
          <cell r="E121">
            <v>6.0910876695984761</v>
          </cell>
          <cell r="F121">
            <v>-2.4587419409359543</v>
          </cell>
          <cell r="G121">
            <v>123.87145871866502</v>
          </cell>
        </row>
        <row r="122">
          <cell r="B122">
            <v>357433.59351975343</v>
          </cell>
          <cell r="D122">
            <v>119.82518613842025</v>
          </cell>
          <cell r="E122">
            <v>6.3883866428549902</v>
          </cell>
          <cell r="F122">
            <v>-2.2729929884303814</v>
          </cell>
          <cell r="G122">
            <v>123.94057979284486</v>
          </cell>
        </row>
        <row r="123">
          <cell r="B123">
            <v>393176.9528717288</v>
          </cell>
          <cell r="D123">
            <v>119.411259286838</v>
          </cell>
          <cell r="E123">
            <v>6.7001964365583229</v>
          </cell>
          <cell r="F123">
            <v>-2.0951097588023897</v>
          </cell>
          <cell r="G123">
            <v>124.01634596459394</v>
          </cell>
        </row>
        <row r="124">
          <cell r="B124">
            <v>432494.64815890172</v>
          </cell>
          <cell r="D124">
            <v>118.99733243525574</v>
          </cell>
          <cell r="E124">
            <v>7.0272253071404895</v>
          </cell>
          <cell r="F124">
            <v>-1.9251852634313573</v>
          </cell>
          <cell r="G124">
            <v>124.09937247896487</v>
          </cell>
        </row>
        <row r="125">
          <cell r="B125">
            <v>475744.1129747919</v>
          </cell>
          <cell r="D125">
            <v>118.58340558367351</v>
          </cell>
          <cell r="E125">
            <v>7.3702160802141563</v>
          </cell>
          <cell r="F125">
            <v>-1.7632948334535159</v>
          </cell>
          <cell r="G125">
            <v>124.19032683043416</v>
          </cell>
        </row>
        <row r="126">
          <cell r="B126">
            <v>523318.52427227114</v>
          </cell>
          <cell r="D126">
            <v>118.16947873209125</v>
          </cell>
          <cell r="E126">
            <v>7.7299478378545388</v>
          </cell>
          <cell r="F126">
            <v>-1.6094942561883783</v>
          </cell>
          <cell r="G126">
            <v>124.2899323137574</v>
          </cell>
        </row>
        <row r="127">
          <cell r="B127">
            <v>575650.37669949827</v>
          </cell>
          <cell r="D127">
            <v>117.755551880509</v>
          </cell>
          <cell r="E127">
            <v>8.107237688235573</v>
          </cell>
          <cell r="F127">
            <v>-1.4638179133690148</v>
          </cell>
          <cell r="G127">
            <v>124.39897165537556</v>
          </cell>
        </row>
        <row r="128">
          <cell r="B128">
            <v>633215.4143694482</v>
          </cell>
          <cell r="D128">
            <v>117.34162502892674</v>
          </cell>
          <cell r="E128">
            <v>8.5029426216399937</v>
          </cell>
          <cell r="F128">
            <v>-1.3262769538716248</v>
          </cell>
          <cell r="G128">
            <v>124.5182906966951</v>
          </cell>
        </row>
        <row r="129">
          <cell r="B129">
            <v>696536.95580639306</v>
          </cell>
          <cell r="D129">
            <v>116.9276981773445</v>
          </cell>
          <cell r="E129">
            <v>8.9179614570591301</v>
          </cell>
          <cell r="F129">
            <v>-1.1968575392325258</v>
          </cell>
          <cell r="G129">
            <v>124.64880209517111</v>
          </cell>
        </row>
        <row r="130">
          <cell r="B130">
            <v>766190.65138703247</v>
          </cell>
          <cell r="D130">
            <v>116.51377132576224</v>
          </cell>
          <cell r="E130">
            <v>9.3532368838039943</v>
          </cell>
          <cell r="F130">
            <v>-1.0755192058333547</v>
          </cell>
          <cell r="G130">
            <v>124.79148900373286</v>
          </cell>
        </row>
        <row r="131">
          <cell r="B131">
            <v>842809.7165257358</v>
          </cell>
          <cell r="D131">
            <v>116.09984447417999</v>
          </cell>
          <cell r="E131">
            <v>9.8097576027650462</v>
          </cell>
          <cell r="F131">
            <v>-0.96219339296597084</v>
          </cell>
          <cell r="G131">
            <v>124.94740868397906</v>
          </cell>
        </row>
        <row r="132">
          <cell r="B132">
            <v>927090.68817830947</v>
          </cell>
          <cell r="D132">
            <v>115.68591762259774</v>
          </cell>
          <cell r="E132">
            <v>10.288560572184396</v>
          </cell>
          <cell r="F132">
            <v>-0.8567821907261387</v>
          </cell>
          <cell r="G132">
            <v>125.117696004056</v>
          </cell>
        </row>
        <row r="133">
          <cell r="B133">
            <v>1019799.7569961405</v>
          </cell>
          <cell r="D133">
            <v>115.2719907710155</v>
          </cell>
          <cell r="E133">
            <v>10.790733363041552</v>
          </cell>
          <cell r="F133">
            <v>-0.75915736542807755</v>
          </cell>
          <cell r="G133">
            <v>125.30356676862897</v>
          </cell>
        </row>
        <row r="134">
          <cell r="B134">
            <v>1121779.7326957546</v>
          </cell>
          <cell r="D134">
            <v>114.85806391943325</v>
          </cell>
          <cell r="E134">
            <v>11.317416629402835</v>
          </cell>
          <cell r="F134">
            <v>-0.66915972251562594</v>
          </cell>
          <cell r="G134">
            <v>125.50632082632045</v>
          </cell>
        </row>
        <row r="135">
          <cell r="B135">
            <v>1233957.7059653301</v>
          </cell>
          <cell r="D135">
            <v>114.44413706785099</v>
          </cell>
          <cell r="E135">
            <v>11.869806699345707</v>
          </cell>
          <cell r="F135">
            <v>-0.58659886725577515</v>
          </cell>
          <cell r="G135">
            <v>125.72734489994092</v>
          </cell>
        </row>
        <row r="136">
          <cell r="B136">
            <v>1357353.4765618632</v>
          </cell>
          <cell r="D136">
            <v>114.03021021626873</v>
          </cell>
          <cell r="E136">
            <v>12.449158292343121</v>
          </cell>
          <cell r="F136">
            <v>-0.51125342129891627</v>
          </cell>
          <cell r="G136">
            <v>125.96811508731294</v>
          </cell>
        </row>
        <row r="137">
          <cell r="B137">
            <v>1493088.8242180496</v>
          </cell>
          <cell r="D137">
            <v>113.61628336468648</v>
          </cell>
          <cell r="E137">
            <v>13.056787369280277</v>
          </cell>
          <cell r="F137">
            <v>-0.44287174795365747</v>
          </cell>
          <cell r="G137">
            <v>126.23019898601309</v>
          </cell>
        </row>
        <row r="138">
          <cell r="B138">
            <v>1642397.7066398547</v>
          </cell>
          <cell r="D138">
            <v>113.20235651310425</v>
          </cell>
          <cell r="E138">
            <v>13.694074121577431</v>
          </cell>
          <cell r="F138">
            <v>-0.38117323029357075</v>
          </cell>
          <cell r="G138">
            <v>126.51525740438811</v>
          </cell>
        </row>
        <row r="139">
          <cell r="B139">
            <v>1806637.4773038402</v>
          </cell>
          <cell r="D139">
            <v>112.78842966152199</v>
          </cell>
          <cell r="E139">
            <v>14.362466106208307</v>
          </cell>
          <cell r="F139">
            <v>-0.32585013365777632</v>
          </cell>
          <cell r="G139">
            <v>126.82504563407251</v>
          </cell>
        </row>
        <row r="140">
          <cell r="B140">
            <v>1987301.2250342243</v>
          </cell>
          <cell r="D140">
            <v>112.37450280993974</v>
          </cell>
          <cell r="E140">
            <v>15.063481533735175</v>
          </cell>
          <cell r="F140">
            <v>-0.2765700675952264</v>
          </cell>
          <cell r="G140">
            <v>127.16141427607968</v>
          </cell>
        </row>
        <row r="141">
          <cell r="B141">
            <v>2186031.347537647</v>
          </cell>
          <cell r="D141">
            <v>111.96057595835748</v>
          </cell>
          <cell r="E141">
            <v>15.798712716829138</v>
          </cell>
          <cell r="F141">
            <v>-0.23297904197641178</v>
          </cell>
          <cell r="G141">
            <v>127.52630963321022</v>
          </cell>
        </row>
        <row r="142">
          <cell r="B142">
            <v>2404634.4822914121</v>
          </cell>
          <cell r="D142">
            <v>111.54664910677523</v>
          </cell>
          <cell r="E142">
            <v>16.569829687108697</v>
          </cell>
          <cell r="F142">
            <v>-0.19470508834111774</v>
          </cell>
          <cell r="G142">
            <v>127.92177370554282</v>
          </cell>
        </row>
        <row r="143">
          <cell r="B143">
            <v>2645097.9305205536</v>
          </cell>
          <cell r="D143">
            <v>111.13272225519297</v>
          </cell>
          <cell r="E143">
            <v>17.378583988512055</v>
          </cell>
          <cell r="F143">
            <v>-0.1613623914451556</v>
          </cell>
          <cell r="G143">
            <v>128.34994385225988</v>
          </cell>
        </row>
        <row r="144">
          <cell r="B144">
            <v>2909607.723572609</v>
          </cell>
          <cell r="D144">
            <v>110.71879540361074</v>
          </cell>
          <cell r="E144">
            <v>18.226812655819565</v>
          </cell>
          <cell r="F144">
            <v>-0.13255584870447853</v>
          </cell>
          <cell r="G144">
            <v>128.81305221072583</v>
          </cell>
        </row>
        <row r="145">
          <cell r="B145">
            <v>3200568.4959298703</v>
          </cell>
          <cell r="D145">
            <v>110.30486855202849</v>
          </cell>
          <cell r="E145">
            <v>19.116442387363264</v>
          </cell>
          <cell r="F145">
            <v>-0.10788594849139328</v>
          </cell>
          <cell r="G145">
            <v>129.31342499090036</v>
          </cell>
        </row>
        <row r="146">
          <cell r="B146">
            <v>3520625.3455228577</v>
          </cell>
          <cell r="D146">
            <v>109.89094170044623</v>
          </cell>
          <cell r="E146">
            <v>20.049493921401524</v>
          </cell>
          <cell r="F146">
            <v>-8.6953834002960625E-2</v>
          </cell>
          <cell r="G146">
            <v>129.8534817878448</v>
          </cell>
        </row>
        <row r="147">
          <cell r="B147">
            <v>3872687.8800751437</v>
          </cell>
          <cell r="D147">
            <v>109.47701484886397</v>
          </cell>
          <cell r="E147">
            <v>21.02808662609959</v>
          </cell>
          <cell r="F147">
            <v>-6.9366399852007238E-2</v>
          </cell>
          <cell r="G147">
            <v>130.43573507511155</v>
          </cell>
        </row>
        <row r="148">
          <cell r="B148">
            <v>4259956.6680826582</v>
          </cell>
          <cell r="D148">
            <v>109.06308799728173</v>
          </cell>
          <cell r="E148">
            <v>22.054443313541679</v>
          </cell>
          <cell r="F148">
            <v>-5.4741255753531906E-2</v>
          </cell>
          <cell r="G148">
            <v>131.06279005506988</v>
          </cell>
        </row>
        <row r="149">
          <cell r="B149">
            <v>4685952.3348909244</v>
          </cell>
          <cell r="D149">
            <v>108.64916114569949</v>
          </cell>
          <cell r="E149">
            <v>23.130895288709549</v>
          </cell>
          <cell r="F149">
            <v>-4.2711387552109903E-2</v>
          </cell>
          <cell r="G149">
            <v>131.73734504685692</v>
          </cell>
        </row>
        <row r="150">
          <cell r="B150">
            <v>5154547.5683800168</v>
          </cell>
          <cell r="D150">
            <v>108.23523429411723</v>
          </cell>
          <cell r="E150">
            <v>24.259887644895851</v>
          </cell>
          <cell r="F150">
            <v>-3.2929351693822918E-2</v>
          </cell>
          <cell r="G150">
            <v>132.46219258731927</v>
          </cell>
        </row>
        <row r="151">
          <cell r="B151">
            <v>5670002.3252180191</v>
          </cell>
          <cell r="D151">
            <v>107.82130744253499</v>
          </cell>
          <cell r="E151">
            <v>25.443984817580503</v>
          </cell>
          <cell r="F151">
            <v>-2.507085566268779E-2</v>
          </cell>
          <cell r="G151">
            <v>133.24022140445283</v>
          </cell>
        </row>
        <row r="152">
          <cell r="B152">
            <v>6237002.5577398213</v>
          </cell>
          <cell r="D152">
            <v>107.40738059095273</v>
          </cell>
          <cell r="E152">
            <v>26.685876409385436</v>
          </cell>
          <cell r="F152">
            <v>-1.8837603511195948E-2</v>
          </cell>
          <cell r="G152">
            <v>134.07441939682695</v>
          </cell>
        </row>
        <row r="153">
          <cell r="B153">
            <v>6860702.8135138042</v>
          </cell>
          <cell r="D153">
            <v>106.99345373937048</v>
          </cell>
          <cell r="E153">
            <v>27.988383299338558</v>
          </cell>
          <cell r="F153">
            <v>-1.3959321032149667E-2</v>
          </cell>
          <cell r="G153">
            <v>134.96787771767688</v>
          </cell>
        </row>
        <row r="154">
          <cell r="B154">
            <v>7546773.0948651852</v>
          </cell>
          <cell r="D154">
            <v>106.57952688778822</v>
          </cell>
          <cell r="E154">
            <v>29.354464050323976</v>
          </cell>
          <cell r="F154">
            <v>-1.0194916984590026E-2</v>
          </cell>
          <cell r="G154">
            <v>135.9237960211276</v>
          </cell>
        </row>
        <row r="155">
          <cell r="B155">
            <v>8301450.4043517048</v>
          </cell>
          <cell r="D155">
            <v>106.16560003620597</v>
          </cell>
          <cell r="E155">
            <v>30.78722162927242</v>
          </cell>
          <cell r="F155">
            <v>-7.3327819470623782E-3</v>
          </cell>
          <cell r="G155">
            <v>136.94548888353131</v>
          </cell>
        </row>
        <row r="156">
          <cell r="B156">
            <v>9131595.4447868764</v>
          </cell>
          <cell r="D156">
            <v>105.75167318462374</v>
          </cell>
          <cell r="E156">
            <v>32.289910455356392</v>
          </cell>
          <cell r="F156">
            <v>-5.1902711871146508E-3</v>
          </cell>
          <cell r="G156">
            <v>138.03639336879303</v>
          </cell>
        </row>
        <row r="157">
          <cell r="B157">
            <v>10044754.989265565</v>
          </cell>
          <cell r="D157">
            <v>105.33774633304148</v>
          </cell>
          <cell r="E157">
            <v>33.865943792199658</v>
          </cell>
          <cell r="F157">
            <v>-3.6124586786243336E-3</v>
          </cell>
          <cell r="G157">
            <v>139.20007766656252</v>
          </cell>
        </row>
        <row r="158">
          <cell r="B158">
            <v>11049230.488192122</v>
          </cell>
          <cell r="D158">
            <v>104.92381948145922</v>
          </cell>
          <cell r="E158">
            <v>35.518901500892028</v>
          </cell>
          <cell r="F158">
            <v>-2.4702826862639418E-3</v>
          </cell>
          <cell r="G158">
            <v>140.440250699665</v>
          </cell>
        </row>
        <row r="159">
          <cell r="B159">
            <v>12154153.537011337</v>
          </cell>
          <cell r="D159">
            <v>104.50989262987697</v>
          </cell>
          <cell r="E159">
            <v>37.252538171419637</v>
          </cell>
          <cell r="F159">
            <v>-1.6582265409888814E-3</v>
          </cell>
          <cell r="G159">
            <v>141.76077257475561</v>
          </cell>
        </row>
        <row r="160">
          <cell r="B160">
            <v>13369568.890712472</v>
          </cell>
          <cell r="D160">
            <v>104.09596577829473</v>
          </cell>
          <cell r="E160">
            <v>39.070791650981235</v>
          </cell>
          <cell r="F160">
            <v>-1.0916897936444089E-3</v>
          </cell>
          <cell r="G160">
            <v>143.16566573948231</v>
          </cell>
        </row>
        <row r="161">
          <cell r="B161">
            <v>14706525.77978372</v>
          </cell>
          <cell r="D161">
            <v>103.68203892671247</v>
          </cell>
          <cell r="E161">
            <v>40.977791988561606</v>
          </cell>
          <cell r="F161">
            <v>-7.0420454225378392E-4</v>
          </cell>
          <cell r="G161">
            <v>144.65912671073184</v>
          </cell>
        </row>
        <row r="162">
          <cell r="B162">
            <v>16177178.357762093</v>
          </cell>
          <cell r="D162">
            <v>103.26811207513023</v>
          </cell>
          <cell r="E162">
            <v>42.97787081607936</v>
          </cell>
          <cell r="F162">
            <v>-4.4464031710592761E-4</v>
          </cell>
          <cell r="G162">
            <v>146.24553825089248</v>
          </cell>
        </row>
        <row r="163">
          <cell r="B163">
            <v>17794896.193538304</v>
          </cell>
          <cell r="D163">
            <v>102.85418522354797</v>
          </cell>
          <cell r="E163">
            <v>45.075571187417765</v>
          </cell>
          <cell r="F163">
            <v>-2.7452049355700066E-4</v>
          </cell>
          <cell r="G163">
            <v>147.9294818904722</v>
          </cell>
        </row>
        <row r="164">
          <cell r="B164">
            <v>19574385.812892135</v>
          </cell>
          <cell r="D164">
            <v>102.44025837196573</v>
          </cell>
          <cell r="E164">
            <v>47.275657897687296</v>
          </cell>
          <cell r="F164">
            <v>-1.6554657631067505E-4</v>
          </cell>
          <cell r="G164">
            <v>149.7157507230767</v>
          </cell>
        </row>
        <row r="165">
          <cell r="B165">
            <v>21531824.394181352</v>
          </cell>
          <cell r="D165">
            <v>102.02633152038347</v>
          </cell>
          <cell r="E165">
            <v>49.583128306159551</v>
          </cell>
          <cell r="F165">
            <v>-9.7397027589799236E-5</v>
          </cell>
          <cell r="G165">
            <v>151.60936242951541</v>
          </cell>
        </row>
        <row r="166">
          <cell r="B166">
            <v>23685006.833599489</v>
          </cell>
          <cell r="D166">
            <v>101.61240466880122</v>
          </cell>
          <cell r="E166">
            <v>52.003223687456035</v>
          </cell>
          <cell r="F166">
            <v>-5.5837714851114698E-5</v>
          </cell>
          <cell r="G166">
            <v>153.61557251854239</v>
          </cell>
        </row>
        <row r="167">
          <cell r="B167">
            <v>26053507.51695944</v>
          </cell>
          <cell r="D167">
            <v>101.19847781721896</v>
          </cell>
          <cell r="E167">
            <v>54.541441136775511</v>
          </cell>
          <cell r="F167">
            <v>-3.1154224354660033E-5</v>
          </cell>
          <cell r="G167">
            <v>155.73988779977012</v>
          </cell>
        </row>
        <row r="168">
          <cell r="B168">
            <v>28658858.268655386</v>
          </cell>
          <cell r="D168">
            <v>100.78455096563671</v>
          </cell>
          <cell r="E168">
            <v>57.203546056201645</v>
          </cell>
          <cell r="F168">
            <v>-1.689420875709093E-5</v>
          </cell>
          <cell r="G168">
            <v>157.98808012762962</v>
          </cell>
        </row>
        <row r="169">
          <cell r="B169">
            <v>31524744.095520929</v>
          </cell>
          <cell r="D169">
            <v>100.37062411405446</v>
          </cell>
          <cell r="E169">
            <v>59.995585250453061</v>
          </cell>
          <cell r="F169">
            <v>-8.891736255698254E-6</v>
          </cell>
          <cell r="G169">
            <v>160.36620047277128</v>
          </cell>
        </row>
        <row r="170">
          <cell r="B170">
            <v>34677218.505073026</v>
          </cell>
          <cell r="D170">
            <v>99.956697262472218</v>
          </cell>
          <cell r="E170">
            <v>62.923900661821804</v>
          </cell>
          <cell r="F170">
            <v>-4.5355489666855842E-6</v>
          </cell>
          <cell r="G170">
            <v>162.88059338874507</v>
          </cell>
        </row>
        <row r="171">
          <cell r="B171">
            <v>38144940.35558033</v>
          </cell>
          <cell r="D171">
            <v>99.542770410889972</v>
          </cell>
          <cell r="E171">
            <v>65.995143775498377</v>
          </cell>
          <cell r="F171">
            <v>-2.2387397493845118E-6</v>
          </cell>
          <cell r="G171">
            <v>165.53791194764861</v>
          </cell>
        </row>
        <row r="172">
          <cell r="B172">
            <v>41959434.391138367</v>
          </cell>
          <cell r="D172">
            <v>99.128843559307711</v>
          </cell>
          <cell r="E172">
            <v>69.216290728003997</v>
          </cell>
          <cell r="F172">
            <v>-1.0676067656435102E-6</v>
          </cell>
          <cell r="G172">
            <v>168.34513321970493</v>
          </cell>
        </row>
        <row r="173">
          <cell r="B173">
            <v>46155377.830252208</v>
          </cell>
          <cell r="D173">
            <v>98.71491670772545</v>
          </cell>
          <cell r="E173">
            <v>72.594658153048215</v>
          </cell>
          <cell r="F173">
            <v>-4.910463545309526E-7</v>
          </cell>
          <cell r="G173">
            <v>171.3095743697273</v>
          </cell>
        </row>
        <row r="174">
          <cell r="B174">
            <v>50770915.613277435</v>
          </cell>
          <cell r="D174">
            <v>98.300989856143204</v>
          </cell>
          <cell r="E174">
            <v>76.137919800804411</v>
          </cell>
          <cell r="F174">
            <v>-2.1745579917778033E-7</v>
          </cell>
          <cell r="G174">
            <v>174.43890943949179</v>
          </cell>
        </row>
        <row r="175">
          <cell r="B175">
            <v>55848007.174605183</v>
          </cell>
          <cell r="D175">
            <v>97.887063004560972</v>
          </cell>
          <cell r="E175">
            <v>79.854123968353051</v>
          </cell>
          <cell r="F175">
            <v>-9.2545072538866197E-8</v>
          </cell>
          <cell r="G175">
            <v>177.74118688036896</v>
          </cell>
        </row>
        <row r="176">
          <cell r="B176">
            <v>61432807.892065704</v>
          </cell>
          <cell r="D176">
            <v>97.473136152978711</v>
          </cell>
          <cell r="E176">
            <v>83.751711780884861</v>
          </cell>
          <cell r="F176">
            <v>-3.777692973701857E-8</v>
          </cell>
          <cell r="G176">
            <v>181.22484789608663</v>
          </cell>
        </row>
        <row r="177">
          <cell r="B177">
            <v>67576088.681272283</v>
          </cell>
          <cell r="D177">
            <v>97.059209301396464</v>
          </cell>
          <cell r="E177">
            <v>87.83953636518838</v>
          </cell>
          <cell r="F177">
            <v>-1.4760707889277023E-8</v>
          </cell>
          <cell r="G177">
            <v>184.89874565182413</v>
          </cell>
        </row>
        <row r="178">
          <cell r="B178">
            <v>74333697.549399525</v>
          </cell>
          <cell r="D178">
            <v>96.645282449814204</v>
          </cell>
          <cell r="E178">
            <v>92.126882958973354</v>
          </cell>
          <cell r="F178">
            <v>-5.5089376281126205E-9</v>
          </cell>
          <cell r="G178">
            <v>188.77216540327859</v>
          </cell>
        </row>
        <row r="179">
          <cell r="B179">
            <v>81767067.304339483</v>
          </cell>
          <cell r="D179">
            <v>96.231355598231957</v>
          </cell>
          <cell r="E179">
            <v>96.623490001707211</v>
          </cell>
          <cell r="F179">
            <v>-1.9594603742466377E-9</v>
          </cell>
          <cell r="G179">
            <v>192.8548455979797</v>
          </cell>
        </row>
        <row r="180">
          <cell r="B180">
            <v>89943774.034773439</v>
          </cell>
          <cell r="D180">
            <v>95.817428746649696</v>
          </cell>
          <cell r="E180">
            <v>101.33957125487071</v>
          </cell>
          <cell r="F180">
            <v>-6.626636555089661E-10</v>
          </cell>
          <cell r="G180">
            <v>197.15700000085775</v>
          </cell>
        </row>
        <row r="181">
          <cell r="B181">
            <v>98938151.438250795</v>
          </cell>
          <cell r="D181">
            <v>95.40350189506745</v>
          </cell>
          <cell r="E181">
            <v>106.28583900187795</v>
          </cell>
          <cell r="F181">
            <v>-2.1255416719787663E-10</v>
          </cell>
          <cell r="G181">
            <v>201.68934089673283</v>
          </cell>
        </row>
        <row r="182">
          <cell r="B182">
            <v>108831966.58207588</v>
          </cell>
          <cell r="D182">
            <v>94.989575043485218</v>
          </cell>
          <cell r="E182">
            <v>111.47352838035778</v>
          </cell>
          <cell r="F182">
            <v>-6.4497113945722966E-11</v>
          </cell>
          <cell r="G182">
            <v>206.46310342377851</v>
          </cell>
        </row>
        <row r="183">
          <cell r="B183">
            <v>119715163.24028347</v>
          </cell>
          <cell r="D183">
            <v>94.575648191902957</v>
          </cell>
          <cell r="E183">
            <v>116.91442290206575</v>
          </cell>
          <cell r="F183">
            <v>-1.8463978002115413E-11</v>
          </cell>
          <cell r="G183">
            <v>211.49007109395023</v>
          </cell>
        </row>
        <row r="184">
          <cell r="B184">
            <v>131686679.56431183</v>
          </cell>
          <cell r="D184">
            <v>94.161721340320696</v>
          </cell>
          <cell r="E184">
            <v>122.62088121839356</v>
          </cell>
          <cell r="F184">
            <v>-4.9730367450167256E-12</v>
          </cell>
          <cell r="G184">
            <v>216.78260255870927</v>
          </cell>
        </row>
        <row r="185">
          <cell r="B185">
            <v>144855347.52074301</v>
          </cell>
          <cell r="D185">
            <v>93.74779448873845</v>
          </cell>
          <cell r="E185">
            <v>128.60586519227235</v>
          </cell>
          <cell r="F185">
            <v>-1.2565186889190239E-12</v>
          </cell>
          <cell r="G185">
            <v>222.35365968100956</v>
          </cell>
        </row>
        <row r="186">
          <cell r="B186">
            <v>159340882.27281731</v>
          </cell>
          <cell r="D186">
            <v>93.333867637156203</v>
          </cell>
          <cell r="E186">
            <v>134.8829693402329</v>
          </cell>
          <cell r="F186">
            <v>-2.9701285969841752E-13</v>
          </cell>
          <cell r="G186">
            <v>228.21683697738882</v>
          </cell>
        </row>
        <row r="187">
          <cell r="B187">
            <v>175274970.50009906</v>
          </cell>
          <cell r="D187">
            <v>92.919940785573957</v>
          </cell>
          <cell r="E187">
            <v>141.46645171149956</v>
          </cell>
          <cell r="F187">
            <v>-6.5574267725623771E-14</v>
          </cell>
          <cell r="G187">
            <v>234.38639249707347</v>
          </cell>
        </row>
        <row r="188">
          <cell r="B188">
            <v>192802467.550109</v>
          </cell>
          <cell r="D188">
            <v>92.50601393399171</v>
          </cell>
          <cell r="E188">
            <v>148.37126627425624</v>
          </cell>
          <cell r="F188">
            <v>-1.350058453174603E-14</v>
          </cell>
          <cell r="G188">
            <v>240.87728020824795</v>
          </cell>
        </row>
        <row r="189">
          <cell r="B189">
            <v>212082714.3051199</v>
          </cell>
          <cell r="D189">
            <v>92.092087082409449</v>
          </cell>
          <cell r="E189">
            <v>155.61309688264956</v>
          </cell>
          <cell r="F189">
            <v>-2.892982399659862E-15</v>
          </cell>
          <cell r="G189">
            <v>247.70518396505901</v>
          </cell>
        </row>
        <row r="190">
          <cell r="B190">
            <v>233290985.73563191</v>
          </cell>
          <cell r="D190">
            <v>91.678160230827203</v>
          </cell>
          <cell r="E190">
            <v>163.20839290168186</v>
          </cell>
          <cell r="F190">
            <v>0</v>
          </cell>
          <cell r="G190">
            <v>254.88655313250905</v>
          </cell>
        </row>
        <row r="191">
          <cell r="B191">
            <v>256620084.30919513</v>
          </cell>
          <cell r="D191">
            <v>91.264233379244942</v>
          </cell>
          <cell r="E191">
            <v>171.1744065709145</v>
          </cell>
          <cell r="F191">
            <v>0</v>
          </cell>
          <cell r="G191">
            <v>262.43863995015943</v>
          </cell>
        </row>
        <row r="192">
          <cell r="B192">
            <v>282282092.74011469</v>
          </cell>
          <cell r="D192">
            <v>90.850306527662696</v>
          </cell>
          <cell r="E192">
            <v>179.52923219185004</v>
          </cell>
          <cell r="F192">
            <v>0</v>
          </cell>
          <cell r="G192">
            <v>270.37953871951277</v>
          </cell>
        </row>
        <row r="193">
          <cell r="B193">
            <v>310510302.01412618</v>
          </cell>
          <cell r="D193">
            <v>90.436379676080435</v>
          </cell>
          <cell r="E193">
            <v>188.29184722800599</v>
          </cell>
          <cell r="F193">
            <v>0</v>
          </cell>
          <cell r="G193">
            <v>278.72822690408645</v>
          </cell>
        </row>
        <row r="194">
          <cell r="B194">
            <v>341561332.2155388</v>
          </cell>
          <cell r="D194">
            <v>90.022452824498203</v>
          </cell>
          <cell r="E194">
            <v>197.48215541103511</v>
          </cell>
          <cell r="F194">
            <v>0</v>
          </cell>
          <cell r="G194">
            <v>287.50460823553328</v>
          </cell>
        </row>
        <row r="195">
          <cell r="B195">
            <v>375717465.43709272</v>
          </cell>
          <cell r="D195">
            <v>89.608525972915942</v>
          </cell>
          <cell r="E195">
            <v>207.12103195080658</v>
          </cell>
          <cell r="F195">
            <v>0</v>
          </cell>
          <cell r="G195">
            <v>296.7295579237225</v>
          </cell>
        </row>
        <row r="196">
          <cell r="B196">
            <v>413289211.980802</v>
          </cell>
          <cell r="D196">
            <v>89.194599121333695</v>
          </cell>
          <cell r="E196">
            <v>217.2303709521386</v>
          </cell>
          <cell r="F196">
            <v>0</v>
          </cell>
          <cell r="G196">
            <v>306.42497007347231</v>
          </cell>
        </row>
        <row r="197">
          <cell r="B197">
            <v>454618133.17888224</v>
          </cell>
          <cell r="D197">
            <v>88.780672269751449</v>
          </cell>
          <cell r="E197">
            <v>227.8331351458873</v>
          </cell>
          <cell r="F197">
            <v>0</v>
          </cell>
          <cell r="G197">
            <v>316.61380741563875</v>
          </cell>
        </row>
        <row r="198">
          <cell r="B198">
            <v>500079946.4967705</v>
          </cell>
          <cell r="D198">
            <v>88.366745418169188</v>
          </cell>
          <cell r="E198">
            <v>238.9534080473525</v>
          </cell>
          <cell r="F198">
            <v>0</v>
          </cell>
          <cell r="G198">
            <v>327.32015346552168</v>
          </cell>
        </row>
        <row r="199">
          <cell r="B199">
            <v>550087941.14644754</v>
          </cell>
          <cell r="D199">
            <v>87.952818566586927</v>
          </cell>
          <cell r="E199">
            <v>250.61644866047598</v>
          </cell>
          <cell r="F199">
            <v>0</v>
          </cell>
          <cell r="G199">
            <v>338.56926722706294</v>
          </cell>
        </row>
        <row r="200">
          <cell r="B200">
            <v>605096735.26109231</v>
          </cell>
          <cell r="D200">
            <v>87.538891715004695</v>
          </cell>
          <cell r="E200">
            <v>262.84874885208774</v>
          </cell>
          <cell r="F200">
            <v>0</v>
          </cell>
          <cell r="G200">
            <v>350.38764056709243</v>
          </cell>
        </row>
        <row r="201">
          <cell r="B201">
            <v>665606408.78720164</v>
          </cell>
          <cell r="D201">
            <v>87.124964863422449</v>
          </cell>
          <cell r="E201">
            <v>275.67809352652358</v>
          </cell>
          <cell r="F201">
            <v>0</v>
          </cell>
          <cell r="G201">
            <v>362.80305838994605</v>
          </cell>
        </row>
        <row r="202">
          <cell r="B202">
            <v>732167049.66592181</v>
          </cell>
          <cell r="D202">
            <v>86.711038011840188</v>
          </cell>
          <cell r="E202">
            <v>289.13362373729655</v>
          </cell>
          <cell r="F202">
            <v>0</v>
          </cell>
          <cell r="G202">
            <v>375.84466174913672</v>
          </cell>
        </row>
        <row r="203">
          <cell r="B203">
            <v>805383754.632514</v>
          </cell>
          <cell r="D203">
            <v>86.297111160257941</v>
          </cell>
          <cell r="E203">
            <v>303.24590287917596</v>
          </cell>
          <cell r="F203">
            <v>0</v>
          </cell>
          <cell r="G203">
            <v>389.5430140394339</v>
          </cell>
        </row>
        <row r="204">
          <cell r="B204">
            <v>885922130.09576547</v>
          </cell>
          <cell r="D204">
            <v>85.883184308675681</v>
          </cell>
          <cell r="E204">
            <v>318.04698611102617</v>
          </cell>
          <cell r="F204">
            <v>0</v>
          </cell>
          <cell r="G204">
            <v>403.93017041970188</v>
          </cell>
        </row>
        <row r="205">
          <cell r="B205">
            <v>974514343.10534215</v>
          </cell>
          <cell r="D205">
            <v>85.469257457093434</v>
          </cell>
          <cell r="E205">
            <v>333.57049316709362</v>
          </cell>
          <cell r="F205">
            <v>0</v>
          </cell>
          <cell r="G205">
            <v>419.03975062418704</v>
          </cell>
        </row>
        <row r="206">
          <cell r="B206">
            <v>1071965777.4158765</v>
          </cell>
          <cell r="D206">
            <v>85.055330605511188</v>
          </cell>
          <cell r="E206">
            <v>349.85168472212888</v>
          </cell>
          <cell r="F206">
            <v>0</v>
          </cell>
          <cell r="G206">
            <v>434.90701532764007</v>
          </cell>
        </row>
        <row r="207">
          <cell r="B207">
            <v>1179162355.1574643</v>
          </cell>
          <cell r="D207">
            <v>84.641403753928941</v>
          </cell>
          <cell r="E207">
            <v>366.92754248380299</v>
          </cell>
          <cell r="F207">
            <v>0</v>
          </cell>
          <cell r="G207">
            <v>451.56894623773195</v>
          </cell>
        </row>
        <row r="208">
          <cell r="B208">
            <v>1297078590.6732109</v>
          </cell>
          <cell r="D208">
            <v>84.227476902346694</v>
          </cell>
          <cell r="E208">
            <v>384.83685319434176</v>
          </cell>
          <cell r="F208">
            <v>0</v>
          </cell>
          <cell r="G208">
            <v>469.06433009668842</v>
          </cell>
        </row>
        <row r="209">
          <cell r="B209">
            <v>1426786449.7405322</v>
          </cell>
          <cell r="D209">
            <v>83.813550050764434</v>
          </cell>
          <cell r="E209">
            <v>403.62029673218336</v>
          </cell>
          <cell r="F209">
            <v>0</v>
          </cell>
          <cell r="G209">
            <v>487.4338467829478</v>
          </cell>
        </row>
        <row r="210">
          <cell r="B210">
            <v>1569465094.7145855</v>
          </cell>
          <cell r="D210">
            <v>83.399623199182173</v>
          </cell>
          <cell r="E210">
            <v>423.320538513776</v>
          </cell>
          <cell r="F210">
            <v>0</v>
          </cell>
          <cell r="G210">
            <v>506.7201617129582</v>
          </cell>
        </row>
        <row r="211">
          <cell r="B211">
            <v>1726411604.1860442</v>
          </cell>
          <cell r="D211">
            <v>82.985696347599927</v>
          </cell>
          <cell r="E211">
            <v>443.98232640540169</v>
          </cell>
          <cell r="F211">
            <v>0</v>
          </cell>
          <cell r="G211">
            <v>526.96802275300161</v>
          </cell>
        </row>
        <row r="212">
          <cell r="B212">
            <v>1899052764.6046488</v>
          </cell>
          <cell r="D212">
            <v>82.571769496017694</v>
          </cell>
          <cell r="E212">
            <v>465.65259236515368</v>
          </cell>
          <cell r="F212">
            <v>0</v>
          </cell>
          <cell r="G212">
            <v>548.22436186117136</v>
          </cell>
        </row>
        <row r="213">
          <cell r="B213">
            <v>2088958041.0651138</v>
          </cell>
          <cell r="D213">
            <v>82.157842644435433</v>
          </cell>
          <cell r="E213">
            <v>488.38055904594194</v>
          </cell>
          <cell r="F213">
            <v>0</v>
          </cell>
          <cell r="G213">
            <v>570.53840169037733</v>
          </cell>
        </row>
        <row r="214">
          <cell r="B214">
            <v>2297853845.1716251</v>
          </cell>
          <cell r="D214">
            <v>81.743915792853187</v>
          </cell>
          <cell r="E214">
            <v>512.21785160166905</v>
          </cell>
          <cell r="F214">
            <v>0</v>
          </cell>
          <cell r="G214">
            <v>593.96176739452221</v>
          </cell>
        </row>
        <row r="215">
          <cell r="B215">
            <v>2527639229.6887879</v>
          </cell>
          <cell r="D215">
            <v>81.329988941270926</v>
          </cell>
          <cell r="E215">
            <v>537.21861495053611</v>
          </cell>
          <cell r="F215">
            <v>0</v>
          </cell>
          <cell r="G215">
            <v>618.54860389180703</v>
          </cell>
        </row>
        <row r="216">
          <cell r="B216">
            <v>2780403152.6576672</v>
          </cell>
          <cell r="D216">
            <v>80.91606208968868</v>
          </cell>
          <cell r="E216">
            <v>563.43963676183614</v>
          </cell>
          <cell r="F216">
            <v>0</v>
          </cell>
          <cell r="G216">
            <v>644.35569885152483</v>
          </cell>
        </row>
        <row r="217">
          <cell r="B217">
            <v>3058443467.9234343</v>
          </cell>
          <cell r="D217">
            <v>80.502135238106419</v>
          </cell>
          <cell r="E217">
            <v>590.94047644558987</v>
          </cell>
          <cell r="F217">
            <v>0</v>
          </cell>
          <cell r="G217">
            <v>671.44261168369633</v>
          </cell>
        </row>
        <row r="218">
          <cell r="B218">
            <v>3364287814.7157779</v>
          </cell>
          <cell r="D218">
            <v>80.088208386524187</v>
          </cell>
          <cell r="E218">
            <v>619.78360043801979</v>
          </cell>
          <cell r="F218">
            <v>0</v>
          </cell>
          <cell r="G218">
            <v>699.87180882454402</v>
          </cell>
        </row>
        <row r="219">
          <cell r="B219">
            <v>3700716596.187356</v>
          </cell>
          <cell r="D219">
            <v>79.674281534941926</v>
          </cell>
          <cell r="E219">
            <v>650.03452409014892</v>
          </cell>
          <cell r="F219">
            <v>0</v>
          </cell>
          <cell r="G219">
            <v>729.7088056250908</v>
          </cell>
        </row>
        <row r="220">
          <cell r="B220">
            <v>4070788255.8060918</v>
          </cell>
          <cell r="D220">
            <v>79.260354683359679</v>
          </cell>
          <cell r="E220">
            <v>681.76196048182169</v>
          </cell>
          <cell r="F220">
            <v>0</v>
          </cell>
          <cell r="G220">
            <v>761.02231516518134</v>
          </cell>
        </row>
        <row r="221">
          <cell r="B221">
            <v>4477867081.3867016</v>
          </cell>
          <cell r="D221">
            <v>78.846427831777419</v>
          </cell>
          <cell r="E221">
            <v>715.03797649916385</v>
          </cell>
          <cell r="F221">
            <v>0</v>
          </cell>
          <cell r="G221">
            <v>793.88440433094127</v>
          </cell>
        </row>
        <row r="222">
          <cell r="B222">
            <v>4925653789.5253725</v>
          </cell>
          <cell r="D222">
            <v>78.432500980195172</v>
          </cell>
          <cell r="E222">
            <v>749.93815653000399</v>
          </cell>
          <cell r="F222">
            <v>0</v>
          </cell>
          <cell r="G222">
            <v>828.37065751019918</v>
          </cell>
        </row>
        <row r="223">
          <cell r="B223">
            <v>5418219168.47791</v>
          </cell>
          <cell r="D223">
            <v>78.018574128612926</v>
          </cell>
          <cell r="E223">
            <v>786.54177414908031</v>
          </cell>
          <cell r="F223">
            <v>0</v>
          </cell>
          <cell r="G223">
            <v>864.56034827769327</v>
          </cell>
        </row>
        <row r="224">
          <cell r="B224">
            <v>5960041085.3257017</v>
          </cell>
          <cell r="D224">
            <v>77.604647277030679</v>
          </cell>
          <cell r="E224">
            <v>824.93197218300452</v>
          </cell>
          <cell r="F224">
            <v>0</v>
          </cell>
          <cell r="G224">
            <v>902.53661946003524</v>
          </cell>
        </row>
        <row r="225">
          <cell r="B225">
            <v>6556045193.8582726</v>
          </cell>
          <cell r="D225">
            <v>77.190720425448418</v>
          </cell>
          <cell r="E225">
            <v>865.19595156398839</v>
          </cell>
          <cell r="F225">
            <v>0</v>
          </cell>
          <cell r="G225">
            <v>942.38667198943676</v>
          </cell>
        </row>
        <row r="226">
          <cell r="B226">
            <v>7211649713.2441006</v>
          </cell>
          <cell r="D226">
            <v>76.776793573866172</v>
          </cell>
          <cell r="E226">
            <v>907.42516940130508</v>
          </cell>
          <cell r="F226">
            <v>0</v>
          </cell>
          <cell r="G226">
            <v>984.20196297517123</v>
          </cell>
        </row>
        <row r="227">
          <cell r="B227">
            <v>7932814684.568511</v>
          </cell>
          <cell r="D227">
            <v>76.362866722283925</v>
          </cell>
          <cell r="E227">
            <v>951.71554672038735</v>
          </cell>
          <cell r="F227">
            <v>0</v>
          </cell>
          <cell r="G227">
            <v>1028.0784134426713</v>
          </cell>
        </row>
        <row r="228">
          <cell r="B228">
            <v>8726096153.025362</v>
          </cell>
          <cell r="D228">
            <v>75.948939870701665</v>
          </cell>
          <cell r="E228">
            <v>998.16768634143546</v>
          </cell>
          <cell r="F228">
            <v>0</v>
          </cell>
          <cell r="G228">
            <v>1074.1166262121371</v>
          </cell>
        </row>
        <row r="229">
          <cell r="B229">
            <v>9598705768.3278999</v>
          </cell>
          <cell r="D229">
            <v>75.535013019119418</v>
          </cell>
          <cell r="E229">
            <v>1046.8871013924263</v>
          </cell>
          <cell r="F229">
            <v>0</v>
          </cell>
          <cell r="G229">
            <v>1122.4221144115456</v>
          </cell>
        </row>
        <row r="230">
          <cell r="B230">
            <v>10558576345.16069</v>
          </cell>
          <cell r="D230">
            <v>75.121086167537172</v>
          </cell>
          <cell r="E230">
            <v>1097.9844549755792</v>
          </cell>
          <cell r="F230">
            <v>0</v>
          </cell>
          <cell r="G230">
            <v>1173.1055411431164</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nde-ed.org/GeneralResources/MaterialProperties/ET/Conductivity_Iron.pdf" TargetMode="External"/><Relationship Id="rId2" Type="http://schemas.openxmlformats.org/officeDocument/2006/relationships/hyperlink" Target="http://www.kayelaby.npl.co.uk/general_physics/2_6/2_6_6.html" TargetMode="External"/><Relationship Id="rId1" Type="http://schemas.openxmlformats.org/officeDocument/2006/relationships/hyperlink" Target="https://www.cartech.com/en/alloy-techzone/technical-information/technical-articles/magnetic-properties-of-stainless-stee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920AF-1B28-4C06-AB02-A909F7C24649}">
  <sheetPr>
    <pageSetUpPr fitToPage="1"/>
  </sheetPr>
  <dimension ref="A1:O45"/>
  <sheetViews>
    <sheetView zoomScaleNormal="100" workbookViewId="0">
      <selection activeCell="H30" sqref="H30"/>
    </sheetView>
  </sheetViews>
  <sheetFormatPr defaultColWidth="11.42578125" defaultRowHeight="13.5"/>
  <cols>
    <col min="1" max="1" width="11.5703125" style="7" customWidth="1"/>
    <col min="2" max="2" width="12.42578125" style="7" customWidth="1"/>
    <col min="3" max="11" width="8.42578125" style="7" customWidth="1"/>
    <col min="12" max="16384" width="11.42578125" style="7"/>
  </cols>
  <sheetData>
    <row r="1" spans="1:11">
      <c r="A1" s="39" t="s">
        <v>0</v>
      </c>
      <c r="B1" s="1"/>
      <c r="C1" s="1"/>
      <c r="D1" s="1"/>
      <c r="E1" s="1"/>
      <c r="F1" s="1"/>
      <c r="G1" s="1"/>
      <c r="H1" s="1"/>
      <c r="I1" s="1"/>
      <c r="J1" s="1"/>
      <c r="K1" s="1"/>
    </row>
    <row r="2" spans="1:11">
      <c r="A2" s="1"/>
      <c r="B2" s="1"/>
      <c r="C2" s="1"/>
      <c r="D2" s="1"/>
      <c r="E2" s="1"/>
      <c r="F2" s="1"/>
      <c r="G2" s="1"/>
      <c r="H2" s="1"/>
      <c r="I2" s="1"/>
      <c r="J2" s="1"/>
      <c r="K2" s="1"/>
    </row>
    <row r="3" spans="1:11">
      <c r="A3" s="1" t="s">
        <v>1</v>
      </c>
      <c r="B3" s="43" t="s">
        <v>2</v>
      </c>
      <c r="C3" s="1"/>
      <c r="D3" s="1"/>
      <c r="E3" s="1"/>
      <c r="F3" s="1"/>
      <c r="G3" s="1"/>
      <c r="H3" s="1"/>
      <c r="I3" s="1"/>
      <c r="J3" s="1"/>
      <c r="K3" s="1"/>
    </row>
    <row r="4" spans="1:11">
      <c r="A4" s="1" t="s">
        <v>3</v>
      </c>
      <c r="B4" s="1" t="s">
        <v>4</v>
      </c>
      <c r="C4" s="1"/>
      <c r="D4" s="1"/>
      <c r="E4" s="1"/>
      <c r="F4" s="1"/>
      <c r="G4" s="1"/>
      <c r="H4" s="1"/>
      <c r="I4" s="1"/>
      <c r="J4" s="1"/>
      <c r="K4" s="1"/>
    </row>
    <row r="5" spans="1:11">
      <c r="A5" s="1" t="s">
        <v>5</v>
      </c>
      <c r="B5" s="1" t="s">
        <v>6</v>
      </c>
      <c r="C5" s="1"/>
      <c r="D5" s="1"/>
      <c r="E5" s="1"/>
      <c r="F5" s="1"/>
      <c r="G5" s="1"/>
      <c r="H5" s="1"/>
      <c r="I5" s="1"/>
      <c r="J5" s="1"/>
      <c r="K5" s="1"/>
    </row>
    <row r="6" spans="1:11">
      <c r="A6" s="1"/>
      <c r="B6" s="1"/>
      <c r="C6" s="1"/>
      <c r="D6" s="1"/>
      <c r="E6" s="1"/>
      <c r="F6" s="1"/>
      <c r="G6" s="1"/>
      <c r="H6" s="1"/>
      <c r="I6" s="1"/>
      <c r="J6" s="1"/>
      <c r="K6" s="1"/>
    </row>
    <row r="7" spans="1:11">
      <c r="A7" s="1" t="s">
        <v>7</v>
      </c>
      <c r="B7" s="1"/>
      <c r="C7" s="1"/>
      <c r="D7" s="1"/>
      <c r="E7" s="1"/>
      <c r="F7" s="1"/>
      <c r="G7" s="1"/>
      <c r="H7" s="1"/>
      <c r="I7" s="1"/>
      <c r="J7" s="1"/>
      <c r="K7" s="1"/>
    </row>
    <row r="8" spans="1:11">
      <c r="A8" s="1" t="s">
        <v>8</v>
      </c>
      <c r="B8" s="1" t="s">
        <v>9</v>
      </c>
      <c r="C8" s="1"/>
      <c r="D8" s="1"/>
      <c r="E8" s="1"/>
      <c r="F8" s="1"/>
      <c r="G8" s="1"/>
      <c r="H8" s="1"/>
      <c r="I8" s="1"/>
      <c r="J8" s="1"/>
      <c r="K8" s="1"/>
    </row>
    <row r="9" spans="1:11">
      <c r="A9" s="1"/>
      <c r="B9" s="1"/>
      <c r="C9" s="1"/>
      <c r="D9" s="1"/>
      <c r="E9" s="1"/>
      <c r="F9" s="1"/>
      <c r="G9" s="1"/>
      <c r="H9" s="1"/>
      <c r="I9" s="1"/>
      <c r="J9" s="1"/>
      <c r="K9" s="1"/>
    </row>
    <row r="10" spans="1:11">
      <c r="A10" s="44" t="s">
        <v>10</v>
      </c>
      <c r="B10" s="44"/>
      <c r="C10" s="44"/>
      <c r="D10" s="45" t="s">
        <v>11</v>
      </c>
      <c r="E10" s="1"/>
      <c r="F10" s="1"/>
      <c r="G10" s="1"/>
      <c r="H10" s="1"/>
      <c r="I10" s="1"/>
      <c r="J10" s="1"/>
      <c r="K10" s="1"/>
    </row>
    <row r="11" spans="1:11">
      <c r="A11" s="1" t="s">
        <v>12</v>
      </c>
      <c r="B11" s="1"/>
      <c r="C11" s="46"/>
      <c r="D11" s="16" t="s">
        <v>13</v>
      </c>
      <c r="E11" s="1"/>
      <c r="F11" s="1"/>
      <c r="G11" s="1"/>
      <c r="H11" s="1"/>
      <c r="I11" s="1"/>
      <c r="J11" s="1"/>
      <c r="K11" s="1"/>
    </row>
    <row r="12" spans="1:11">
      <c r="A12" s="1" t="s">
        <v>14</v>
      </c>
      <c r="B12" s="1"/>
      <c r="C12" s="46"/>
      <c r="D12" s="16" t="s">
        <v>15</v>
      </c>
      <c r="E12" s="1"/>
      <c r="F12" s="1"/>
      <c r="G12" s="1"/>
      <c r="H12" s="1"/>
      <c r="I12" s="1"/>
      <c r="J12" s="1"/>
      <c r="K12" s="1"/>
    </row>
    <row r="13" spans="1:11">
      <c r="A13" s="1" t="s">
        <v>16</v>
      </c>
      <c r="B13" s="1"/>
      <c r="C13" s="46"/>
      <c r="D13" s="16" t="s">
        <v>17</v>
      </c>
      <c r="E13" s="1"/>
      <c r="F13" s="1"/>
      <c r="G13" s="1"/>
      <c r="H13" s="1"/>
      <c r="I13" s="1"/>
      <c r="J13" s="1"/>
      <c r="K13" s="1"/>
    </row>
    <row r="14" spans="1:11">
      <c r="A14" s="1" t="s">
        <v>18</v>
      </c>
      <c r="B14" s="1"/>
      <c r="C14" s="46"/>
      <c r="D14" s="16" t="s">
        <v>19</v>
      </c>
      <c r="E14" s="1"/>
      <c r="F14" s="1"/>
      <c r="G14" s="1"/>
      <c r="H14" s="1"/>
      <c r="I14" s="1"/>
      <c r="J14" s="1"/>
      <c r="K14" s="1"/>
    </row>
    <row r="15" spans="1:11">
      <c r="A15" s="1" t="s">
        <v>20</v>
      </c>
      <c r="B15" s="1"/>
      <c r="C15" s="46"/>
      <c r="D15" s="16" t="s">
        <v>21</v>
      </c>
      <c r="E15" s="1"/>
      <c r="F15" s="1"/>
      <c r="G15" s="1"/>
      <c r="H15" s="1"/>
      <c r="I15" s="1"/>
      <c r="J15" s="1"/>
      <c r="K15" s="1"/>
    </row>
    <row r="16" spans="1:11">
      <c r="A16" s="1" t="s">
        <v>22</v>
      </c>
      <c r="B16" s="1"/>
      <c r="C16" s="46"/>
      <c r="D16" s="16" t="s">
        <v>23</v>
      </c>
      <c r="E16" s="1"/>
      <c r="F16" s="1"/>
      <c r="G16" s="1"/>
      <c r="H16" s="1"/>
      <c r="I16" s="1"/>
      <c r="J16" s="1"/>
      <c r="K16" s="1"/>
    </row>
    <row r="17" spans="1:15">
      <c r="A17" s="1" t="s">
        <v>24</v>
      </c>
      <c r="B17" s="1"/>
      <c r="C17" s="46"/>
      <c r="D17" s="16" t="s">
        <v>25</v>
      </c>
      <c r="E17" s="1"/>
      <c r="F17" s="1"/>
      <c r="G17" s="1"/>
      <c r="H17" s="1"/>
      <c r="I17" s="1"/>
      <c r="J17" s="1"/>
      <c r="K17" s="1"/>
    </row>
    <row r="18" spans="1:15">
      <c r="A18" s="1" t="s">
        <v>26</v>
      </c>
      <c r="B18" s="1"/>
      <c r="C18" s="46"/>
      <c r="D18" s="16" t="s">
        <v>27</v>
      </c>
      <c r="E18" s="1"/>
      <c r="F18" s="1"/>
      <c r="G18" s="1"/>
      <c r="H18" s="1"/>
      <c r="I18" s="1"/>
      <c r="J18" s="1"/>
      <c r="K18" s="1"/>
    </row>
    <row r="19" spans="1:15">
      <c r="A19" s="1" t="s">
        <v>28</v>
      </c>
      <c r="B19" s="1"/>
      <c r="C19" s="46"/>
      <c r="D19" s="16" t="s">
        <v>29</v>
      </c>
      <c r="E19" s="1"/>
      <c r="F19" s="1"/>
      <c r="G19" s="1"/>
      <c r="H19" s="1"/>
      <c r="I19" s="1"/>
      <c r="J19" s="1"/>
      <c r="K19" s="1"/>
    </row>
    <row r="20" spans="1:15">
      <c r="A20" s="1"/>
      <c r="B20" s="1"/>
      <c r="C20" s="46"/>
      <c r="D20" s="81"/>
      <c r="E20" s="1"/>
      <c r="F20" s="1"/>
      <c r="G20" s="1"/>
      <c r="H20" s="1"/>
      <c r="I20" s="1"/>
      <c r="J20" s="1"/>
      <c r="K20" s="1"/>
    </row>
    <row r="21" spans="1:15">
      <c r="A21" s="44" t="s">
        <v>30</v>
      </c>
      <c r="B21" s="49"/>
      <c r="C21" s="82" t="s">
        <v>31</v>
      </c>
      <c r="D21" s="47" t="s">
        <v>11</v>
      </c>
      <c r="E21" s="45" t="s">
        <v>32</v>
      </c>
      <c r="F21" s="48"/>
      <c r="G21" s="48"/>
      <c r="H21" s="48"/>
      <c r="I21" s="48"/>
      <c r="J21" s="48"/>
      <c r="K21" s="48"/>
      <c r="L21" s="6"/>
      <c r="M21" s="6"/>
      <c r="N21" s="6"/>
      <c r="O21" s="6"/>
    </row>
    <row r="22" spans="1:15">
      <c r="A22" s="39" t="s">
        <v>33</v>
      </c>
      <c r="B22" s="39"/>
      <c r="C22" s="30">
        <v>50</v>
      </c>
      <c r="D22" s="16" t="s">
        <v>34</v>
      </c>
      <c r="E22" s="16" t="s">
        <v>35</v>
      </c>
      <c r="F22" s="1"/>
      <c r="G22" s="1"/>
      <c r="H22" s="1"/>
      <c r="I22" s="1"/>
      <c r="J22" s="1"/>
      <c r="K22" s="1"/>
    </row>
    <row r="23" spans="1:15" ht="6.75" customHeight="1">
      <c r="A23" s="1"/>
      <c r="B23" s="1"/>
      <c r="C23" s="46"/>
      <c r="D23" s="46"/>
      <c r="E23" s="1"/>
      <c r="F23" s="1"/>
      <c r="G23" s="1"/>
      <c r="H23" s="1"/>
      <c r="I23" s="1"/>
      <c r="J23" s="1"/>
      <c r="K23" s="1"/>
    </row>
    <row r="24" spans="1:15">
      <c r="A24" s="78" t="s">
        <v>36</v>
      </c>
      <c r="B24" s="78"/>
      <c r="C24" s="80" t="s">
        <v>13</v>
      </c>
      <c r="D24" s="48" t="s">
        <v>15</v>
      </c>
      <c r="E24" s="48" t="s">
        <v>17</v>
      </c>
      <c r="F24" s="48" t="s">
        <v>19</v>
      </c>
      <c r="G24" s="48" t="s">
        <v>21</v>
      </c>
      <c r="H24" s="48" t="s">
        <v>23</v>
      </c>
      <c r="I24" s="48" t="s">
        <v>25</v>
      </c>
      <c r="J24" s="48" t="s">
        <v>27</v>
      </c>
      <c r="K24" s="48" t="s">
        <v>29</v>
      </c>
    </row>
    <row r="25" spans="1:15">
      <c r="A25" s="13">
        <v>0.1</v>
      </c>
      <c r="B25" s="16" t="s">
        <v>13</v>
      </c>
      <c r="C25" s="84"/>
      <c r="D25" s="1">
        <f>20*LOG10(A25)</f>
        <v>-20</v>
      </c>
      <c r="E25" s="1">
        <f>20*LOG10(A25/0.000001)</f>
        <v>100</v>
      </c>
      <c r="F25" s="1">
        <f>A25/$C$22</f>
        <v>2E-3</v>
      </c>
      <c r="G25" s="1">
        <f>20*LOG10(F25)</f>
        <v>-53.979400086720375</v>
      </c>
      <c r="H25" s="1">
        <f>20*LOG10(F25/0.000001)</f>
        <v>66.020599913279625</v>
      </c>
      <c r="I25" s="1">
        <f>F25*F25*$C$22</f>
        <v>1.9999999999999998E-4</v>
      </c>
      <c r="J25" s="1">
        <f t="shared" ref="J25:J30" si="0">10*LOG10(I25/0.001)</f>
        <v>-6.9897000433601884</v>
      </c>
      <c r="K25" s="1">
        <f t="shared" ref="K25:K30" si="1">10*LOG10(I25/0.000001)</f>
        <v>23.010299956639813</v>
      </c>
    </row>
    <row r="26" spans="1:15">
      <c r="A26" s="13">
        <v>-20</v>
      </c>
      <c r="B26" s="16" t="s">
        <v>15</v>
      </c>
      <c r="C26" s="55">
        <f>10^(A26/20)</f>
        <v>0.1</v>
      </c>
      <c r="D26" s="14"/>
      <c r="E26" s="1">
        <f>20*LOG10(C26/0.000001)</f>
        <v>100</v>
      </c>
      <c r="F26" s="1">
        <f>C26/$C$22</f>
        <v>2E-3</v>
      </c>
      <c r="G26" s="1">
        <f>20*LOG10(F26)</f>
        <v>-53.979400086720375</v>
      </c>
      <c r="H26" s="1">
        <f>20*LOG10(F26/0.000001)</f>
        <v>66.020599913279625</v>
      </c>
      <c r="I26" s="1">
        <f>F26*F26*$C$22</f>
        <v>1.9999999999999998E-4</v>
      </c>
      <c r="J26" s="1">
        <f t="shared" si="0"/>
        <v>-6.9897000433601884</v>
      </c>
      <c r="K26" s="1">
        <f t="shared" si="1"/>
        <v>23.010299956639813</v>
      </c>
    </row>
    <row r="27" spans="1:15">
      <c r="A27" s="13">
        <v>100</v>
      </c>
      <c r="B27" s="16" t="s">
        <v>17</v>
      </c>
      <c r="C27" s="55">
        <f>10^(A27/20)/1000000</f>
        <v>0.1</v>
      </c>
      <c r="D27" s="1">
        <f t="shared" ref="D27:D33" si="2">20*LOG10(C27)</f>
        <v>-20</v>
      </c>
      <c r="E27" s="14"/>
      <c r="F27" s="1">
        <f>C27/$C$22</f>
        <v>2E-3</v>
      </c>
      <c r="G27" s="1">
        <f>20*LOG10(F27)</f>
        <v>-53.979400086720375</v>
      </c>
      <c r="H27" s="1">
        <f>20*LOG10(F27/0.000001)</f>
        <v>66.020599913279625</v>
      </c>
      <c r="I27" s="1">
        <f>F27*F27*$C$22</f>
        <v>1.9999999999999998E-4</v>
      </c>
      <c r="J27" s="1">
        <f t="shared" si="0"/>
        <v>-6.9897000433601884</v>
      </c>
      <c r="K27" s="1">
        <f t="shared" si="1"/>
        <v>23.010299956639813</v>
      </c>
      <c r="L27" s="6"/>
      <c r="M27" s="6"/>
      <c r="N27" s="6"/>
      <c r="O27" s="6"/>
    </row>
    <row r="28" spans="1:15">
      <c r="A28" s="13">
        <v>2E-3</v>
      </c>
      <c r="B28" s="16" t="s">
        <v>19</v>
      </c>
      <c r="C28" s="55">
        <f>$C$22*A28</f>
        <v>0.1</v>
      </c>
      <c r="D28" s="1">
        <f t="shared" si="2"/>
        <v>-20</v>
      </c>
      <c r="E28" s="1">
        <f t="shared" ref="E28:E33" si="3">20*LOG10(C28/0.000001)</f>
        <v>100</v>
      </c>
      <c r="F28" s="14"/>
      <c r="G28" s="1">
        <f>20*LOG10(A28)</f>
        <v>-53.979400086720375</v>
      </c>
      <c r="H28" s="1">
        <f>20*LOG10(A28/0.000001)</f>
        <v>66.020599913279625</v>
      </c>
      <c r="I28" s="1">
        <f>A28*A28*$C$22</f>
        <v>1.9999999999999998E-4</v>
      </c>
      <c r="J28" s="1">
        <f t="shared" si="0"/>
        <v>-6.9897000433601884</v>
      </c>
      <c r="K28" s="1">
        <f t="shared" si="1"/>
        <v>23.010299956639813</v>
      </c>
    </row>
    <row r="29" spans="1:15">
      <c r="A29" s="13">
        <v>-53.979400089999999</v>
      </c>
      <c r="B29" s="16" t="s">
        <v>21</v>
      </c>
      <c r="C29" s="55">
        <f>$C$22*F29</f>
        <v>9.9999999962241876E-2</v>
      </c>
      <c r="D29" s="1">
        <f t="shared" si="2"/>
        <v>-20.000000003279631</v>
      </c>
      <c r="E29" s="1">
        <f t="shared" si="3"/>
        <v>99.999999996720362</v>
      </c>
      <c r="F29" s="1">
        <f>10^(A29/20)</f>
        <v>1.9999999992448376E-3</v>
      </c>
      <c r="G29" s="14"/>
      <c r="H29" s="1">
        <f>20*LOG10(F29/0.000001)</f>
        <v>66.020599910000001</v>
      </c>
      <c r="I29" s="1">
        <f>F29*F29*$C$22</f>
        <v>1.9999999984896753E-4</v>
      </c>
      <c r="J29" s="1">
        <f t="shared" si="0"/>
        <v>-6.9897000466398165</v>
      </c>
      <c r="K29" s="1">
        <f t="shared" si="1"/>
        <v>23.010299953360182</v>
      </c>
    </row>
    <row r="30" spans="1:15">
      <c r="A30" s="13">
        <v>66.020599910000001</v>
      </c>
      <c r="B30" s="16" t="s">
        <v>23</v>
      </c>
      <c r="C30" s="55">
        <f>$C$22*F30</f>
        <v>9.9999999962242014E-2</v>
      </c>
      <c r="D30" s="1">
        <f t="shared" si="2"/>
        <v>-20.000000003279617</v>
      </c>
      <c r="E30" s="1">
        <f t="shared" si="3"/>
        <v>99.999999996720391</v>
      </c>
      <c r="F30" s="1">
        <f>10^(A30/20)/1000000</f>
        <v>1.9999999992448402E-3</v>
      </c>
      <c r="G30" s="1">
        <f>20*LOG10(F30)</f>
        <v>-53.979400089999992</v>
      </c>
      <c r="H30" s="14"/>
      <c r="I30" s="1">
        <f>F30*F30*$C$22</f>
        <v>1.9999999984896804E-4</v>
      </c>
      <c r="J30" s="1">
        <f t="shared" si="0"/>
        <v>-6.9897000466398049</v>
      </c>
      <c r="K30" s="1">
        <f t="shared" si="1"/>
        <v>23.010299953360196</v>
      </c>
    </row>
    <row r="31" spans="1:15">
      <c r="A31" s="13">
        <v>2.0000000000000001E-4</v>
      </c>
      <c r="B31" s="16" t="s">
        <v>25</v>
      </c>
      <c r="C31" s="55">
        <f>A31/F31</f>
        <v>0.1</v>
      </c>
      <c r="D31" s="1">
        <f t="shared" si="2"/>
        <v>-20</v>
      </c>
      <c r="E31" s="1">
        <f t="shared" si="3"/>
        <v>100</v>
      </c>
      <c r="F31" s="1">
        <f>SQRT(A31/$C$22)</f>
        <v>2E-3</v>
      </c>
      <c r="G31" s="1">
        <f>20*LOG10(F31)</f>
        <v>-53.979400086720375</v>
      </c>
      <c r="H31" s="1">
        <f>20*LOG10(F31/0.000001)</f>
        <v>66.020599913279625</v>
      </c>
      <c r="I31" s="14"/>
      <c r="J31" s="1">
        <f>10*LOG10(A31/0.001)</f>
        <v>-6.9897000433601875</v>
      </c>
      <c r="K31" s="1">
        <f>10*LOG10(A31/0.000001)</f>
        <v>23.010299956639813</v>
      </c>
    </row>
    <row r="32" spans="1:15">
      <c r="A32" s="13">
        <v>-6.989700043</v>
      </c>
      <c r="B32" s="16" t="s">
        <v>27</v>
      </c>
      <c r="C32" s="55">
        <f>I32/F32</f>
        <v>0.10000000000414681</v>
      </c>
      <c r="D32" s="1">
        <f t="shared" si="2"/>
        <v>-19.999999999639812</v>
      </c>
      <c r="E32" s="1">
        <f t="shared" si="3"/>
        <v>100.00000000036019</v>
      </c>
      <c r="F32" s="1">
        <f>SQRT(I32/$C$22)</f>
        <v>2.0000000000829363E-3</v>
      </c>
      <c r="G32" s="1">
        <f>20*LOG10(F32)</f>
        <v>-53.979400086360194</v>
      </c>
      <c r="H32" s="1">
        <f>20*LOG10(F32/0.000001)</f>
        <v>66.020599913639813</v>
      </c>
      <c r="I32" s="1">
        <f>10^(A32/10)/1000</f>
        <v>2.0000000001658725E-4</v>
      </c>
      <c r="J32" s="14"/>
      <c r="K32" s="1">
        <f>10*LOG10(I32/0.000001)</f>
        <v>23.010299957000001</v>
      </c>
    </row>
    <row r="33" spans="1:12">
      <c r="A33" s="13">
        <v>23.010299960000001</v>
      </c>
      <c r="B33" s="16" t="s">
        <v>29</v>
      </c>
      <c r="C33" s="55">
        <f>I33/F33</f>
        <v>0.1000000000386856</v>
      </c>
      <c r="D33" s="1">
        <f t="shared" si="2"/>
        <v>-19.999999996639811</v>
      </c>
      <c r="E33" s="1">
        <f t="shared" si="3"/>
        <v>100.00000000336019</v>
      </c>
      <c r="F33" s="1">
        <f>SQRT(I33/$C$22)</f>
        <v>2.0000000007737123E-3</v>
      </c>
      <c r="G33" s="1">
        <f>20*LOG10(F33)</f>
        <v>-53.979400083360183</v>
      </c>
      <c r="H33" s="1">
        <f>20*LOG10(F33/0.000001)</f>
        <v>66.02059991663981</v>
      </c>
      <c r="I33" s="1">
        <f>10^(A33/10)/1000000</f>
        <v>2.0000000015474244E-4</v>
      </c>
      <c r="J33" s="1">
        <f>10*LOG10(I33/0.001)</f>
        <v>-6.9897000399999989</v>
      </c>
      <c r="K33" s="14"/>
    </row>
    <row r="34" spans="1:12">
      <c r="B34" s="46"/>
      <c r="C34" s="1"/>
      <c r="D34" s="1"/>
      <c r="E34" s="1"/>
      <c r="F34" s="1"/>
      <c r="G34" s="1"/>
      <c r="H34" s="1"/>
      <c r="I34" s="1"/>
      <c r="J34" s="1"/>
      <c r="K34" s="1"/>
    </row>
    <row r="35" spans="1:12">
      <c r="A35" s="1" t="s">
        <v>210</v>
      </c>
      <c r="B35" s="46"/>
      <c r="C35" s="1"/>
      <c r="D35" s="1"/>
      <c r="E35" s="1"/>
      <c r="F35" s="1"/>
      <c r="G35" s="1"/>
      <c r="H35" s="1"/>
      <c r="I35" s="1"/>
      <c r="J35" s="1"/>
      <c r="K35" s="1"/>
    </row>
    <row r="36" spans="1:12">
      <c r="A36" s="1" t="s">
        <v>213</v>
      </c>
      <c r="B36" s="46"/>
      <c r="C36" s="1"/>
      <c r="D36" s="1"/>
      <c r="E36" s="1"/>
      <c r="F36" s="1"/>
      <c r="G36" s="1"/>
      <c r="H36" s="1"/>
      <c r="I36" s="1"/>
      <c r="J36" s="1"/>
      <c r="K36" s="1"/>
    </row>
    <row r="37" spans="1:12">
      <c r="A37" s="1"/>
      <c r="B37" s="46"/>
      <c r="C37" s="1"/>
      <c r="D37" s="1"/>
      <c r="E37" s="1"/>
      <c r="F37" s="1"/>
      <c r="G37" s="1"/>
      <c r="H37" s="1"/>
      <c r="I37" s="1"/>
      <c r="J37" s="1"/>
      <c r="K37" s="1"/>
      <c r="L37" s="1"/>
    </row>
    <row r="38" spans="1:12" ht="21.75" customHeight="1">
      <c r="A38" s="287" t="s">
        <v>37</v>
      </c>
      <c r="B38" s="287"/>
      <c r="C38" s="287"/>
      <c r="D38" s="287"/>
      <c r="E38" s="287"/>
      <c r="F38" s="287"/>
      <c r="G38" s="287"/>
      <c r="H38" s="287"/>
      <c r="I38" s="287"/>
      <c r="J38" s="287"/>
      <c r="K38" s="287"/>
      <c r="L38" s="1"/>
    </row>
    <row r="39" spans="1:12">
      <c r="A39" s="1"/>
      <c r="B39" s="1"/>
      <c r="C39" s="1"/>
      <c r="D39" s="1"/>
      <c r="E39" s="1"/>
      <c r="F39" s="1"/>
      <c r="G39" s="1"/>
      <c r="H39" s="1"/>
      <c r="I39" s="1"/>
      <c r="J39" s="1"/>
      <c r="K39" s="1"/>
      <c r="L39" s="1"/>
    </row>
    <row r="40" spans="1:12" ht="13.5" customHeight="1">
      <c r="A40" s="85"/>
      <c r="B40" s="85"/>
      <c r="C40" s="85"/>
      <c r="D40" s="85"/>
      <c r="E40" s="85"/>
      <c r="F40" s="85"/>
      <c r="G40" s="85"/>
      <c r="H40" s="85"/>
      <c r="I40" s="85"/>
      <c r="J40" s="85"/>
      <c r="K40" s="85"/>
      <c r="L40" s="1"/>
    </row>
    <row r="41" spans="1:12">
      <c r="A41" s="85"/>
      <c r="B41" s="85"/>
      <c r="C41" s="85"/>
      <c r="D41" s="85"/>
      <c r="E41" s="85"/>
      <c r="F41" s="85"/>
      <c r="G41" s="85"/>
      <c r="H41" s="85"/>
      <c r="I41" s="85"/>
      <c r="J41" s="85"/>
      <c r="K41" s="85"/>
      <c r="L41" s="1"/>
    </row>
    <row r="42" spans="1:12">
      <c r="A42" s="85"/>
      <c r="B42" s="85"/>
      <c r="C42" s="85"/>
      <c r="D42" s="85"/>
      <c r="E42" s="85"/>
      <c r="F42" s="85"/>
      <c r="G42" s="85"/>
      <c r="H42" s="85"/>
      <c r="I42" s="85"/>
      <c r="J42" s="85"/>
      <c r="K42" s="85"/>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sheetData>
  <sheetProtection sheet="1" objects="1" scenarios="1"/>
  <mergeCells count="1">
    <mergeCell ref="A38:K38"/>
  </mergeCells>
  <pageMargins left="0.25" right="0.25" top="0.75" bottom="0.75" header="0.3" footer="0.3"/>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6F64F-00A9-4657-93F7-3BEA4419A41D}">
  <dimension ref="A1:N68"/>
  <sheetViews>
    <sheetView zoomScaleNormal="100" workbookViewId="0">
      <selection activeCell="C21" activeCellId="2" sqref="C13:C17 C19 C21:C22"/>
    </sheetView>
  </sheetViews>
  <sheetFormatPr defaultColWidth="11.42578125" defaultRowHeight="13.5"/>
  <cols>
    <col min="1" max="1" width="7.42578125" style="10" customWidth="1"/>
    <col min="2" max="2" width="19" style="10" customWidth="1"/>
    <col min="3" max="3" width="13.5703125" style="10" customWidth="1"/>
    <col min="4" max="4" width="5.7109375" style="10" customWidth="1"/>
    <col min="5" max="5" width="17.7109375" style="10" customWidth="1"/>
    <col min="6" max="6" width="17.7109375" style="1" customWidth="1"/>
    <col min="7" max="7" width="17.7109375" style="10" customWidth="1"/>
    <col min="8" max="8" width="21.5703125" style="10" customWidth="1"/>
    <col min="9" max="9" width="17" style="10" customWidth="1"/>
    <col min="10" max="10" width="10.28515625" style="10" customWidth="1"/>
    <col min="11" max="16384" width="11.42578125" style="10"/>
  </cols>
  <sheetData>
    <row r="1" spans="1:14">
      <c r="A1" s="39" t="s">
        <v>598</v>
      </c>
      <c r="B1" s="1"/>
      <c r="C1" s="1"/>
      <c r="D1" s="1"/>
      <c r="E1" s="1"/>
      <c r="G1" s="1"/>
      <c r="H1" s="1"/>
    </row>
    <row r="2" spans="1:14">
      <c r="A2" s="1"/>
      <c r="B2" s="1"/>
      <c r="C2" s="1"/>
      <c r="D2" s="1"/>
      <c r="E2" s="1"/>
      <c r="G2" s="1"/>
      <c r="H2" s="1"/>
    </row>
    <row r="3" spans="1:14">
      <c r="A3" s="1" t="s">
        <v>1</v>
      </c>
      <c r="B3" s="43" t="s">
        <v>316</v>
      </c>
      <c r="C3" s="1"/>
      <c r="D3" s="1"/>
      <c r="E3" s="44" t="s">
        <v>42</v>
      </c>
      <c r="F3" s="48"/>
      <c r="G3" s="71" t="s">
        <v>31</v>
      </c>
      <c r="H3" s="45" t="s">
        <v>11</v>
      </c>
    </row>
    <row r="4" spans="1:14">
      <c r="A4" s="1" t="s">
        <v>3</v>
      </c>
      <c r="B4" s="1" t="s">
        <v>4</v>
      </c>
      <c r="C4" s="1"/>
      <c r="D4" s="1"/>
      <c r="E4" s="46" t="s">
        <v>97</v>
      </c>
      <c r="F4" s="2"/>
      <c r="G4" s="16">
        <v>299800000</v>
      </c>
      <c r="H4" s="16" t="s">
        <v>46</v>
      </c>
    </row>
    <row r="5" spans="1:14">
      <c r="A5" s="1" t="s">
        <v>5</v>
      </c>
      <c r="B5" s="1" t="s">
        <v>571</v>
      </c>
      <c r="C5" s="1"/>
      <c r="D5" s="1"/>
      <c r="E5" s="46" t="s">
        <v>49</v>
      </c>
      <c r="F5" s="2"/>
      <c r="G5" s="16">
        <v>8.8539999999999992E-12</v>
      </c>
      <c r="H5" s="16" t="s">
        <v>50</v>
      </c>
    </row>
    <row r="6" spans="1:14">
      <c r="A6" s="1"/>
      <c r="B6" s="1"/>
      <c r="C6" s="1"/>
      <c r="D6" s="1"/>
      <c r="E6" s="46" t="s">
        <v>53</v>
      </c>
      <c r="F6" s="2"/>
      <c r="G6" s="16">
        <f>4*PI()*0.0000001</f>
        <v>1.2566370614359173E-6</v>
      </c>
      <c r="H6" s="16" t="s">
        <v>54</v>
      </c>
    </row>
    <row r="8" spans="1:14">
      <c r="A8" s="1" t="s">
        <v>657</v>
      </c>
    </row>
    <row r="9" spans="1:14">
      <c r="K9" s="6"/>
      <c r="L9" s="6"/>
      <c r="M9" s="6"/>
      <c r="N9" s="6"/>
    </row>
    <row r="10" spans="1:14">
      <c r="A10" s="49" t="s">
        <v>119</v>
      </c>
      <c r="B10" s="40"/>
      <c r="C10" s="40"/>
      <c r="D10" s="44"/>
      <c r="E10" s="44"/>
      <c r="F10" s="40"/>
      <c r="G10" s="40"/>
      <c r="H10" s="41"/>
      <c r="K10" s="6"/>
      <c r="L10" s="6"/>
      <c r="M10" s="6"/>
      <c r="N10" s="6"/>
    </row>
    <row r="11" spans="1:14">
      <c r="A11" s="41" t="s">
        <v>658</v>
      </c>
      <c r="B11" s="40"/>
      <c r="C11" s="40"/>
      <c r="D11" s="44"/>
      <c r="E11" s="44"/>
      <c r="F11" s="48"/>
      <c r="G11" s="48"/>
      <c r="H11" s="41"/>
      <c r="K11" s="6"/>
      <c r="L11" s="6"/>
      <c r="M11" s="6"/>
      <c r="N11" s="6"/>
    </row>
    <row r="12" spans="1:14">
      <c r="A12" s="44" t="s">
        <v>30</v>
      </c>
      <c r="B12" s="44"/>
      <c r="C12" s="53" t="s">
        <v>31</v>
      </c>
      <c r="D12" s="56" t="s">
        <v>11</v>
      </c>
      <c r="E12" s="57" t="s">
        <v>32</v>
      </c>
      <c r="F12" s="48"/>
      <c r="G12" s="48"/>
      <c r="H12" s="41"/>
      <c r="K12" s="6"/>
      <c r="L12" s="6"/>
      <c r="M12" s="6"/>
      <c r="N12" s="6"/>
    </row>
    <row r="13" spans="1:14">
      <c r="A13" s="16" t="s">
        <v>100</v>
      </c>
      <c r="B13" s="208"/>
      <c r="C13" s="245">
        <v>1</v>
      </c>
      <c r="D13" s="238" t="s">
        <v>102</v>
      </c>
      <c r="E13" s="252" t="s">
        <v>121</v>
      </c>
      <c r="F13" s="208"/>
      <c r="G13" s="208"/>
      <c r="H13" s="1"/>
      <c r="K13" s="6"/>
      <c r="L13" s="6"/>
      <c r="M13" s="6"/>
      <c r="N13" s="6"/>
    </row>
    <row r="14" spans="1:14">
      <c r="A14" s="16" t="s">
        <v>103</v>
      </c>
      <c r="B14" s="208"/>
      <c r="C14" s="246">
        <v>1</v>
      </c>
      <c r="D14" s="15" t="s">
        <v>102</v>
      </c>
      <c r="E14" s="252" t="s">
        <v>122</v>
      </c>
      <c r="F14" s="208"/>
      <c r="G14" s="208"/>
      <c r="H14" s="1"/>
      <c r="K14" s="6"/>
      <c r="L14" s="6"/>
      <c r="M14" s="6"/>
      <c r="N14" s="6"/>
    </row>
    <row r="15" spans="1:14">
      <c r="A15" s="179" t="s">
        <v>95</v>
      </c>
      <c r="B15" s="179"/>
      <c r="C15" s="114">
        <v>30000000</v>
      </c>
      <c r="D15" s="15" t="s">
        <v>96</v>
      </c>
      <c r="E15" s="252" t="s">
        <v>572</v>
      </c>
      <c r="F15" s="208"/>
      <c r="G15" s="208"/>
      <c r="H15" s="1"/>
      <c r="K15" s="6"/>
      <c r="L15" s="6"/>
      <c r="M15" s="6"/>
      <c r="N15" s="6"/>
    </row>
    <row r="16" spans="1:14">
      <c r="A16" s="179" t="s">
        <v>574</v>
      </c>
      <c r="B16" s="208"/>
      <c r="C16" s="248">
        <v>1</v>
      </c>
      <c r="D16" s="15" t="s">
        <v>99</v>
      </c>
      <c r="E16" s="252"/>
      <c r="F16" s="208"/>
      <c r="G16" s="208"/>
      <c r="K16" s="6"/>
      <c r="L16" s="6"/>
      <c r="M16" s="6"/>
      <c r="N16" s="6"/>
    </row>
    <row r="17" spans="1:14">
      <c r="A17" s="179" t="s">
        <v>575</v>
      </c>
      <c r="B17" s="251"/>
      <c r="C17" s="247">
        <v>1.2700000000000001E-3</v>
      </c>
      <c r="D17" s="239" t="s">
        <v>99</v>
      </c>
      <c r="E17" s="253"/>
      <c r="F17" s="251"/>
      <c r="G17" s="251"/>
      <c r="H17" s="17"/>
      <c r="K17" s="6"/>
      <c r="L17" s="6"/>
      <c r="M17" s="6"/>
      <c r="N17" s="6"/>
    </row>
    <row r="18" spans="1:14">
      <c r="A18" s="49" t="s">
        <v>589</v>
      </c>
      <c r="B18" s="17"/>
      <c r="C18" s="53" t="s">
        <v>31</v>
      </c>
      <c r="D18" s="56" t="s">
        <v>11</v>
      </c>
      <c r="E18" s="75" t="s">
        <v>32</v>
      </c>
      <c r="F18" s="87"/>
      <c r="G18" s="162"/>
      <c r="H18" s="42"/>
      <c r="I18" s="22"/>
      <c r="K18" s="6"/>
      <c r="L18" s="6"/>
      <c r="M18" s="6"/>
      <c r="N18" s="6"/>
    </row>
    <row r="19" spans="1:14">
      <c r="A19" s="41" t="s">
        <v>576</v>
      </c>
      <c r="B19" s="40"/>
      <c r="C19" s="258">
        <v>0.02</v>
      </c>
      <c r="D19" s="136" t="s">
        <v>19</v>
      </c>
      <c r="E19" s="242" t="s">
        <v>584</v>
      </c>
      <c r="F19" s="41"/>
      <c r="G19" s="40"/>
      <c r="H19" s="40"/>
      <c r="K19" s="6"/>
      <c r="L19" s="6"/>
      <c r="M19" s="6"/>
      <c r="N19" s="6"/>
    </row>
    <row r="20" spans="1:14">
      <c r="A20" s="49" t="s">
        <v>659</v>
      </c>
      <c r="B20" s="40"/>
      <c r="C20" s="53" t="s">
        <v>31</v>
      </c>
      <c r="D20" s="56" t="s">
        <v>11</v>
      </c>
      <c r="E20" s="90" t="s">
        <v>32</v>
      </c>
      <c r="F20" s="240"/>
      <c r="G20" s="40"/>
      <c r="H20" s="115"/>
      <c r="I20" s="22"/>
    </row>
    <row r="21" spans="1:14">
      <c r="A21" s="46" t="s">
        <v>577</v>
      </c>
      <c r="B21" s="46"/>
      <c r="C21" s="245">
        <v>3.3</v>
      </c>
      <c r="D21" s="38" t="s">
        <v>13</v>
      </c>
      <c r="E21" s="244" t="s">
        <v>660</v>
      </c>
      <c r="F21" s="179"/>
      <c r="G21" s="208"/>
    </row>
    <row r="22" spans="1:14">
      <c r="A22" s="46" t="s">
        <v>578</v>
      </c>
      <c r="B22" s="46"/>
      <c r="C22" s="246">
        <v>160</v>
      </c>
      <c r="D22" s="16" t="s">
        <v>570</v>
      </c>
      <c r="E22" s="243" t="s">
        <v>585</v>
      </c>
      <c r="F22" s="179"/>
      <c r="G22" s="208"/>
    </row>
    <row r="23" spans="1:14" ht="15">
      <c r="A23" s="81" t="s">
        <v>576</v>
      </c>
      <c r="B23" s="17"/>
      <c r="C23" s="257">
        <f>C21/C22</f>
        <v>2.0624999999999998E-2</v>
      </c>
      <c r="D23" s="74" t="s">
        <v>19</v>
      </c>
      <c r="E23" s="253" t="s">
        <v>586</v>
      </c>
      <c r="F23" s="50"/>
      <c r="G23" s="17"/>
      <c r="H23" s="17"/>
    </row>
    <row r="24" spans="1:14" ht="13.5" customHeight="1">
      <c r="A24" s="111" t="s">
        <v>573</v>
      </c>
      <c r="B24" s="17"/>
      <c r="C24" s="56" t="s">
        <v>31</v>
      </c>
      <c r="D24" s="56" t="s">
        <v>11</v>
      </c>
      <c r="E24" s="75" t="s">
        <v>32</v>
      </c>
      <c r="F24" s="50"/>
      <c r="G24" s="17"/>
      <c r="H24" s="17"/>
    </row>
    <row r="25" spans="1:14" ht="13.5" customHeight="1">
      <c r="A25" s="46" t="s">
        <v>98</v>
      </c>
      <c r="B25" s="208"/>
      <c r="C25" s="241">
        <f>$G$4/(C15*SQRT(C13*C14))</f>
        <v>9.9933333333333341</v>
      </c>
      <c r="D25" s="254" t="s">
        <v>99</v>
      </c>
      <c r="E25" s="252" t="s">
        <v>579</v>
      </c>
      <c r="F25" s="179"/>
      <c r="G25" s="208"/>
      <c r="H25" s="20"/>
      <c r="I25" s="208"/>
      <c r="J25" s="208"/>
    </row>
    <row r="26" spans="1:14" ht="13.5" customHeight="1">
      <c r="A26" s="46" t="s">
        <v>603</v>
      </c>
      <c r="B26" s="208"/>
      <c r="C26" s="262">
        <f>C25/4</f>
        <v>2.4983333333333335</v>
      </c>
      <c r="D26" s="252" t="s">
        <v>99</v>
      </c>
      <c r="E26" s="252" t="s">
        <v>604</v>
      </c>
      <c r="F26" s="179"/>
      <c r="G26" s="208"/>
      <c r="H26" s="20"/>
      <c r="I26" s="208"/>
      <c r="J26" s="208"/>
    </row>
    <row r="27" spans="1:14" ht="13.5" customHeight="1">
      <c r="A27" s="46" t="s">
        <v>581</v>
      </c>
      <c r="B27" s="208"/>
      <c r="C27" s="250">
        <f>2*PI()/$C$25</f>
        <v>0.62873768917741013</v>
      </c>
      <c r="D27" s="252" t="s">
        <v>580</v>
      </c>
      <c r="E27" s="255"/>
      <c r="F27" s="179"/>
      <c r="G27" s="208"/>
      <c r="H27" s="208"/>
      <c r="I27" s="208"/>
      <c r="J27" s="208"/>
    </row>
    <row r="28" spans="1:14" ht="15.75" customHeight="1">
      <c r="A28" s="46" t="s">
        <v>582</v>
      </c>
      <c r="B28" s="208"/>
      <c r="C28" s="250">
        <f>SQRT(($G$6*$C$14)/($G$5*$C$13))</f>
        <v>376.73430918211017</v>
      </c>
      <c r="D28" s="16" t="s">
        <v>570</v>
      </c>
      <c r="E28" s="252" t="s">
        <v>583</v>
      </c>
      <c r="F28" s="179"/>
      <c r="G28" s="208"/>
      <c r="H28" s="208"/>
      <c r="I28" s="208"/>
      <c r="J28" s="208"/>
    </row>
    <row r="29" spans="1:14" s="22" customFormat="1">
      <c r="A29" s="10"/>
      <c r="B29" s="10"/>
      <c r="C29" s="10"/>
      <c r="D29" s="17"/>
      <c r="E29" s="17"/>
      <c r="F29" s="50"/>
      <c r="G29" s="17"/>
      <c r="H29" s="10"/>
      <c r="I29" s="10"/>
      <c r="J29" s="10"/>
      <c r="K29" s="10"/>
    </row>
    <row r="30" spans="1:14">
      <c r="D30" s="259" t="s">
        <v>188</v>
      </c>
      <c r="E30" s="259" t="s">
        <v>594</v>
      </c>
      <c r="F30" s="259" t="s">
        <v>595</v>
      </c>
      <c r="G30" s="259" t="s">
        <v>596</v>
      </c>
      <c r="H30" s="259" t="s">
        <v>32</v>
      </c>
      <c r="I30" s="22"/>
      <c r="J30" s="22"/>
      <c r="K30" s="22"/>
    </row>
    <row r="31" spans="1:14" ht="12">
      <c r="D31" s="10">
        <v>1</v>
      </c>
      <c r="E31" s="249">
        <f>1.3165*10^-14*$C$19*$C$15*$C$15*$C$16*$C$17/D31</f>
        <v>3.0095190000000002E-4</v>
      </c>
      <c r="F31" s="249">
        <f>2.63*10^-14*$C$19*$C$15*$C$15*$C$16*$C$17/D31</f>
        <v>6.0121800000000004E-4</v>
      </c>
      <c r="G31" s="249">
        <f>IF($C$22&gt;$C$28,$C$21*$C$16*$C$17*$C$27*$C$27/(4*PI()*D31),$C$21*$C$16*$C$17*$C$27*$C$27/(4*PI()*D31)*$C$28/$C$22)</f>
        <v>3.1042877883889216E-4</v>
      </c>
      <c r="H31" s="309" t="s">
        <v>597</v>
      </c>
    </row>
    <row r="32" spans="1:14" s="22" customFormat="1" ht="12">
      <c r="D32" s="10">
        <v>3</v>
      </c>
      <c r="E32" s="249">
        <f>1.3165*10^-14*$C$19*$C$15*$C$15*$C$16*$C$17/D32</f>
        <v>1.003173E-4</v>
      </c>
      <c r="F32" s="249">
        <f>2.63*10^-14*$C$19*$C$15*$C$15*$C$16*$C$17/D32</f>
        <v>2.0040600000000001E-4</v>
      </c>
      <c r="G32" s="249">
        <f>IF($C$22&gt;$C$28,$C$21*$C$16*$C$17*$C$27*$C$27/(4*PI()*D32),$C$21*$C$16*$C$17*$C$27*$C$27/(4*PI()*D32)*$C$28/$C$22)</f>
        <v>1.0347625961296407E-4</v>
      </c>
      <c r="H32" s="310"/>
      <c r="K32" s="10"/>
    </row>
    <row r="33" spans="1:13" ht="12">
      <c r="D33" s="10">
        <v>10</v>
      </c>
      <c r="E33" s="249">
        <f>1.3165*10^-14*$C$19*$C$15*$C$15*$C$16*$C$17/D33</f>
        <v>3.0095190000000002E-5</v>
      </c>
      <c r="F33" s="249">
        <f>2.63*10^-14*$C$19*$C$15*$C$15*$C$16*$C$17/D33</f>
        <v>6.0121800000000004E-5</v>
      </c>
      <c r="G33" s="249">
        <f>IF($C$22&gt;$C$28,$C$21*$C$16*$C$17*$C$27*$C$27/(4*PI()*D33),$C$21*$C$16*$C$17*$C$27*$C$27/(4*PI()*D33)*$C$28/$C$22)</f>
        <v>3.1042877883889219E-5</v>
      </c>
      <c r="H33" s="310"/>
      <c r="K33" s="22"/>
    </row>
    <row r="34" spans="1:13" ht="12">
      <c r="D34" s="10">
        <v>100</v>
      </c>
      <c r="E34" s="249">
        <f>1.3165*10^-14*$C$19*$C$15*$C$15*$C$16*$C$17/D34</f>
        <v>3.009519E-6</v>
      </c>
      <c r="F34" s="249">
        <f>2.63*10^-14*$C$19*$C$15*$C$15*$C$16*$C$17/D34</f>
        <v>6.0121800000000001E-6</v>
      </c>
      <c r="G34" s="249">
        <f>IF($C$22&gt;$C$28,$C$21*$C$16*$C$17*$C$27*$C$27/(4*PI()*D34),$C$21*$C$16*$C$17*$C$27*$C$27/(4*PI()*D34)*$C$28/$C$22)</f>
        <v>3.1042877883889218E-6</v>
      </c>
      <c r="H34" s="310"/>
    </row>
    <row r="35" spans="1:13" ht="12">
      <c r="D35" s="10">
        <v>1000</v>
      </c>
      <c r="E35" s="249">
        <f>1.3165*10^-14*$C$19*$C$15*$C$15*$C$16*$C$17/D35</f>
        <v>3.0095190000000001E-7</v>
      </c>
      <c r="F35" s="249">
        <f>2.63*10^-14*$C$19*$C$15*$C$15*$C$16*$C$17/D35</f>
        <v>6.0121800000000003E-7</v>
      </c>
      <c r="G35" s="249">
        <f>IF($C$22&gt;$C$28,$C$21*$C$16*$C$17*$C$27*$C$27/(4*PI()*D35),$C$21*$C$16*$C$17*$C$27*$C$27/(4*PI()*D35)*$C$28/$C$22)</f>
        <v>3.1042877883889224E-7</v>
      </c>
      <c r="H35" s="310"/>
    </row>
    <row r="36" spans="1:13">
      <c r="D36" s="259" t="s">
        <v>188</v>
      </c>
      <c r="E36" s="259" t="s">
        <v>591</v>
      </c>
      <c r="F36" s="259" t="s">
        <v>592</v>
      </c>
      <c r="G36" s="259" t="s">
        <v>593</v>
      </c>
      <c r="H36" s="310"/>
    </row>
    <row r="37" spans="1:13" ht="12">
      <c r="D37" s="10">
        <v>1</v>
      </c>
      <c r="E37" s="256">
        <f>20*LOG10(E31/0.000001)</f>
        <v>49.569941790026995</v>
      </c>
      <c r="F37" s="256">
        <f>20*LOG10(F31/0.000001)</f>
        <v>55.580639490980417</v>
      </c>
      <c r="G37" s="256">
        <f>20*LOG10(G31/0.000001)</f>
        <v>49.839239529529806</v>
      </c>
      <c r="H37" s="310"/>
    </row>
    <row r="38" spans="1:13" ht="12">
      <c r="D38" s="10">
        <v>3</v>
      </c>
      <c r="E38" s="256">
        <f t="shared" ref="E38:G41" si="0">20*LOG10(E32/0.000001)</f>
        <v>40.02751669563375</v>
      </c>
      <c r="F38" s="256">
        <f t="shared" si="0"/>
        <v>46.038214396587165</v>
      </c>
      <c r="G38" s="256">
        <f t="shared" si="0"/>
        <v>40.296814435136561</v>
      </c>
      <c r="H38" s="310"/>
    </row>
    <row r="39" spans="1:13" ht="12">
      <c r="D39" s="10">
        <v>10</v>
      </c>
      <c r="E39" s="256">
        <f t="shared" si="0"/>
        <v>29.569941790026995</v>
      </c>
      <c r="F39" s="256">
        <f t="shared" si="0"/>
        <v>35.580639490980417</v>
      </c>
      <c r="G39" s="256">
        <f t="shared" si="0"/>
        <v>29.839239529529809</v>
      </c>
      <c r="H39" s="310"/>
    </row>
    <row r="40" spans="1:13" s="22" customFormat="1" ht="12">
      <c r="D40" s="10">
        <v>100</v>
      </c>
      <c r="E40" s="256">
        <f t="shared" si="0"/>
        <v>9.5699417900269985</v>
      </c>
      <c r="F40" s="256">
        <f t="shared" si="0"/>
        <v>15.580639490980417</v>
      </c>
      <c r="G40" s="256">
        <f t="shared" si="0"/>
        <v>9.8392395295298094</v>
      </c>
      <c r="H40" s="310"/>
    </row>
    <row r="41" spans="1:13" ht="12">
      <c r="D41" s="10">
        <v>1000</v>
      </c>
      <c r="E41" s="256">
        <f t="shared" si="0"/>
        <v>-10.430058209973001</v>
      </c>
      <c r="F41" s="256">
        <f t="shared" si="0"/>
        <v>-4.419360509019584</v>
      </c>
      <c r="G41" s="256">
        <f t="shared" si="0"/>
        <v>-10.160760470470189</v>
      </c>
      <c r="H41" s="310"/>
    </row>
    <row r="42" spans="1:13">
      <c r="A42" s="1" t="s">
        <v>210</v>
      </c>
      <c r="F42" s="10"/>
      <c r="H42" s="310"/>
    </row>
    <row r="43" spans="1:13">
      <c r="A43" s="1" t="s">
        <v>587</v>
      </c>
      <c r="B43" s="1"/>
      <c r="C43" s="1"/>
      <c r="D43" s="1"/>
      <c r="E43" s="1"/>
      <c r="G43" s="1"/>
      <c r="H43" s="1"/>
      <c r="I43" s="1"/>
      <c r="J43" s="1"/>
      <c r="K43" s="1"/>
      <c r="L43" s="1"/>
      <c r="M43" s="1"/>
    </row>
    <row r="44" spans="1:13" ht="12" customHeight="1">
      <c r="A44" s="1" t="s">
        <v>588</v>
      </c>
      <c r="B44" s="22"/>
      <c r="C44" s="22"/>
      <c r="D44" s="22"/>
      <c r="E44" s="22"/>
      <c r="F44" s="22"/>
      <c r="G44" s="22"/>
      <c r="H44" s="22"/>
      <c r="I44" s="22"/>
      <c r="J44" s="22"/>
      <c r="K44" s="22"/>
      <c r="L44" s="22"/>
      <c r="M44" s="22"/>
    </row>
    <row r="45" spans="1:13">
      <c r="A45" s="1" t="s">
        <v>590</v>
      </c>
      <c r="F45" s="10"/>
    </row>
    <row r="61" spans="1:8">
      <c r="A61" s="264"/>
      <c r="B61" s="264"/>
      <c r="C61" s="264"/>
      <c r="D61" s="264"/>
      <c r="E61" s="264"/>
      <c r="F61" s="264"/>
      <c r="G61" s="264"/>
    </row>
    <row r="62" spans="1:8">
      <c r="A62" s="36"/>
      <c r="B62" s="35"/>
      <c r="C62" s="35"/>
      <c r="D62" s="35"/>
      <c r="E62" s="35"/>
      <c r="F62" s="37"/>
      <c r="G62" s="37"/>
      <c r="H62" s="22"/>
    </row>
    <row r="63" spans="1:8">
      <c r="A63" s="35"/>
      <c r="B63" s="35"/>
      <c r="C63" s="35"/>
      <c r="D63" s="35"/>
      <c r="E63" s="35"/>
      <c r="F63" s="37"/>
      <c r="G63" s="35"/>
    </row>
    <row r="66" spans="1:6" ht="12">
      <c r="A66" s="263"/>
      <c r="B66" s="263"/>
      <c r="C66" s="263"/>
      <c r="D66" s="263"/>
      <c r="E66" s="263"/>
      <c r="F66" s="263"/>
    </row>
    <row r="67" spans="1:6" ht="12">
      <c r="A67" s="263"/>
      <c r="B67" s="263"/>
      <c r="C67" s="263"/>
      <c r="D67" s="263"/>
      <c r="E67" s="263"/>
      <c r="F67" s="263"/>
    </row>
    <row r="68" spans="1:6" ht="12">
      <c r="A68" s="263"/>
      <c r="B68" s="263"/>
      <c r="C68" s="263"/>
      <c r="D68" s="263"/>
      <c r="E68" s="263"/>
      <c r="F68" s="263"/>
    </row>
  </sheetData>
  <sheetProtection sheet="1" objects="1" scenarios="1" selectLockedCells="1"/>
  <mergeCells count="1">
    <mergeCell ref="H31:H42"/>
  </mergeCells>
  <conditionalFormatting sqref="C26">
    <cfRule type="cellIs" dxfId="1" priority="1" operator="lessThan">
      <formula>2*($C$16+$C$17)</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2539E-0CA2-46EA-BD8A-7E68BB2B5A82}">
  <dimension ref="A1:N72"/>
  <sheetViews>
    <sheetView tabSelected="1" topLeftCell="A13" workbookViewId="0">
      <selection activeCell="C23" sqref="C23"/>
    </sheetView>
  </sheetViews>
  <sheetFormatPr defaultColWidth="11.42578125" defaultRowHeight="13.5"/>
  <cols>
    <col min="1" max="1" width="7.28515625" style="10" customWidth="1"/>
    <col min="2" max="5" width="30.28515625" style="10" customWidth="1"/>
    <col min="6" max="6" width="30.28515625" style="1" customWidth="1"/>
    <col min="7" max="7" width="14" style="10" customWidth="1"/>
    <col min="8" max="8" width="5" style="10" bestFit="1" customWidth="1"/>
    <col min="9" max="9" width="17" style="10" customWidth="1"/>
    <col min="10" max="10" width="17.85546875" style="10" customWidth="1"/>
    <col min="11" max="16384" width="11.42578125" style="10"/>
  </cols>
  <sheetData>
    <row r="1" spans="1:14">
      <c r="A1" s="39" t="s">
        <v>599</v>
      </c>
      <c r="B1" s="1"/>
      <c r="C1" s="1"/>
      <c r="D1" s="1"/>
      <c r="E1" s="1"/>
      <c r="G1" s="1"/>
      <c r="H1" s="1"/>
    </row>
    <row r="2" spans="1:14">
      <c r="A2" s="1"/>
      <c r="B2" s="1"/>
      <c r="C2" s="1"/>
      <c r="D2" s="1"/>
      <c r="E2" s="1"/>
      <c r="G2" s="1"/>
      <c r="H2" s="1"/>
    </row>
    <row r="3" spans="1:14">
      <c r="A3" s="1" t="s">
        <v>1</v>
      </c>
      <c r="B3" s="43" t="s">
        <v>655</v>
      </c>
      <c r="C3" s="1"/>
      <c r="D3" s="1"/>
    </row>
    <row r="4" spans="1:14">
      <c r="A4" s="1" t="s">
        <v>3</v>
      </c>
      <c r="B4" s="1" t="s">
        <v>4</v>
      </c>
      <c r="C4" s="1"/>
      <c r="D4" s="1"/>
    </row>
    <row r="5" spans="1:14">
      <c r="A5" s="1" t="s">
        <v>5</v>
      </c>
      <c r="B5" s="1" t="s">
        <v>630</v>
      </c>
      <c r="C5" s="1"/>
      <c r="D5" s="1"/>
    </row>
    <row r="6" spans="1:14">
      <c r="A6" s="1"/>
      <c r="K6" s="6"/>
      <c r="L6" s="6"/>
      <c r="M6" s="6"/>
      <c r="N6" s="6"/>
    </row>
    <row r="7" spans="1:14">
      <c r="A7" s="1"/>
      <c r="B7" s="283" t="s">
        <v>42</v>
      </c>
      <c r="C7" s="71" t="s">
        <v>31</v>
      </c>
      <c r="D7" s="45" t="s">
        <v>11</v>
      </c>
      <c r="K7" s="6"/>
      <c r="L7" s="6"/>
      <c r="M7" s="6"/>
      <c r="N7" s="6"/>
    </row>
    <row r="8" spans="1:14">
      <c r="A8" s="1"/>
      <c r="B8" s="284" t="s">
        <v>97</v>
      </c>
      <c r="C8" s="243">
        <v>299800000</v>
      </c>
      <c r="D8" s="16" t="s">
        <v>46</v>
      </c>
      <c r="K8" s="6"/>
      <c r="L8" s="6"/>
      <c r="M8" s="6"/>
      <c r="N8" s="6"/>
    </row>
    <row r="9" spans="1:14">
      <c r="A9" s="1"/>
      <c r="B9" s="284" t="s">
        <v>49</v>
      </c>
      <c r="C9" s="243">
        <v>8.8539999999999992E-12</v>
      </c>
      <c r="D9" s="16" t="s">
        <v>50</v>
      </c>
      <c r="K9" s="6"/>
      <c r="L9" s="6"/>
      <c r="M9" s="6"/>
      <c r="N9" s="6"/>
    </row>
    <row r="10" spans="1:14">
      <c r="A10" s="1"/>
      <c r="B10" s="284" t="s">
        <v>53</v>
      </c>
      <c r="C10" s="243">
        <f>4*PI()*0.0000001</f>
        <v>1.2566370614359173E-6</v>
      </c>
      <c r="D10" s="16" t="s">
        <v>54</v>
      </c>
      <c r="K10" s="6"/>
      <c r="L10" s="6"/>
      <c r="M10" s="6"/>
      <c r="N10" s="6"/>
    </row>
    <row r="11" spans="1:14">
      <c r="A11" s="1"/>
      <c r="B11" s="285" t="s">
        <v>608</v>
      </c>
      <c r="C11" s="269">
        <v>1.64</v>
      </c>
      <c r="D11" s="16" t="s">
        <v>102</v>
      </c>
      <c r="K11" s="6"/>
      <c r="L11" s="6"/>
      <c r="M11" s="6"/>
      <c r="N11" s="6"/>
    </row>
    <row r="12" spans="1:14">
      <c r="A12" s="1"/>
      <c r="B12" s="285" t="s">
        <v>607</v>
      </c>
      <c r="C12" s="269">
        <v>3.28</v>
      </c>
      <c r="D12" s="16" t="s">
        <v>102</v>
      </c>
      <c r="K12" s="6"/>
      <c r="L12" s="6"/>
      <c r="M12" s="6"/>
      <c r="N12" s="6"/>
    </row>
    <row r="13" spans="1:14">
      <c r="A13" s="1"/>
      <c r="B13" s="285" t="s">
        <v>611</v>
      </c>
      <c r="C13" s="269">
        <v>73</v>
      </c>
      <c r="D13" s="268" t="s">
        <v>609</v>
      </c>
      <c r="K13" s="6"/>
      <c r="L13" s="6"/>
      <c r="M13" s="6"/>
      <c r="N13" s="6"/>
    </row>
    <row r="14" spans="1:14">
      <c r="A14" s="1"/>
      <c r="B14" s="285" t="s">
        <v>610</v>
      </c>
      <c r="C14" s="269">
        <v>36.5</v>
      </c>
      <c r="D14" s="268" t="s">
        <v>609</v>
      </c>
      <c r="K14" s="6"/>
      <c r="L14" s="6"/>
      <c r="M14" s="6"/>
      <c r="N14" s="6"/>
    </row>
    <row r="15" spans="1:14">
      <c r="A15" s="1"/>
      <c r="B15" s="285"/>
      <c r="C15" s="344"/>
      <c r="D15" s="345"/>
      <c r="K15" s="6"/>
      <c r="L15" s="6"/>
      <c r="M15" s="6"/>
      <c r="N15" s="6"/>
    </row>
    <row r="16" spans="1:14">
      <c r="A16" s="1" t="s">
        <v>647</v>
      </c>
      <c r="B16" s="285"/>
      <c r="C16" s="344"/>
      <c r="D16" s="345"/>
      <c r="K16" s="6"/>
      <c r="L16" s="6"/>
      <c r="M16" s="6"/>
      <c r="N16" s="6"/>
    </row>
    <row r="17" spans="1:14">
      <c r="K17" s="6"/>
      <c r="L17" s="6"/>
      <c r="M17" s="6"/>
      <c r="N17" s="6"/>
    </row>
    <row r="18" spans="1:14">
      <c r="A18" s="49" t="s">
        <v>119</v>
      </c>
      <c r="B18" s="40"/>
      <c r="C18" s="40"/>
      <c r="D18" s="44"/>
      <c r="E18" s="44"/>
      <c r="F18" s="40"/>
      <c r="G18" s="321"/>
      <c r="H18" s="320"/>
      <c r="K18" s="6"/>
      <c r="L18" s="6"/>
      <c r="M18" s="6"/>
      <c r="N18" s="6"/>
    </row>
    <row r="19" spans="1:14">
      <c r="A19" s="41" t="s">
        <v>120</v>
      </c>
      <c r="B19" s="40"/>
      <c r="C19" s="40"/>
      <c r="D19" s="44"/>
      <c r="E19" s="44"/>
      <c r="F19" s="48"/>
      <c r="G19" s="347"/>
      <c r="H19" s="320"/>
      <c r="K19" s="6"/>
      <c r="L19" s="6"/>
      <c r="M19" s="6"/>
      <c r="N19" s="6"/>
    </row>
    <row r="20" spans="1:14">
      <c r="A20" s="44" t="s">
        <v>30</v>
      </c>
      <c r="B20" s="44"/>
      <c r="C20" s="53" t="s">
        <v>31</v>
      </c>
      <c r="D20" s="56" t="s">
        <v>11</v>
      </c>
      <c r="E20" s="57" t="s">
        <v>32</v>
      </c>
      <c r="F20" s="48"/>
      <c r="G20" s="347"/>
      <c r="H20" s="320"/>
      <c r="K20" s="6"/>
      <c r="L20" s="6"/>
      <c r="M20" s="6"/>
      <c r="N20" s="6"/>
    </row>
    <row r="21" spans="1:14">
      <c r="A21" s="16" t="s">
        <v>100</v>
      </c>
      <c r="B21" s="208"/>
      <c r="C21" s="245">
        <v>1</v>
      </c>
      <c r="D21" s="238" t="s">
        <v>102</v>
      </c>
      <c r="E21" s="252" t="s">
        <v>121</v>
      </c>
      <c r="F21" s="208"/>
      <c r="G21" s="348"/>
      <c r="H21" s="320"/>
      <c r="K21" s="6"/>
      <c r="L21" s="6"/>
      <c r="M21" s="6"/>
      <c r="N21" s="6"/>
    </row>
    <row r="22" spans="1:14">
      <c r="A22" s="16" t="s">
        <v>103</v>
      </c>
      <c r="B22" s="208"/>
      <c r="C22" s="246">
        <v>1</v>
      </c>
      <c r="D22" s="15" t="s">
        <v>102</v>
      </c>
      <c r="E22" s="252" t="s">
        <v>122</v>
      </c>
      <c r="F22" s="208"/>
      <c r="G22" s="348"/>
      <c r="H22" s="320"/>
      <c r="K22" s="6"/>
      <c r="L22" s="6"/>
      <c r="M22" s="6"/>
      <c r="N22" s="6"/>
    </row>
    <row r="23" spans="1:14">
      <c r="A23" s="179" t="s">
        <v>95</v>
      </c>
      <c r="B23" s="179"/>
      <c r="C23" s="114">
        <v>200000000</v>
      </c>
      <c r="D23" s="15" t="s">
        <v>96</v>
      </c>
      <c r="E23" s="252" t="s">
        <v>572</v>
      </c>
      <c r="F23" s="208"/>
      <c r="G23" s="348"/>
      <c r="H23" s="320"/>
      <c r="K23" s="6"/>
      <c r="L23" s="6"/>
      <c r="M23" s="6"/>
    </row>
    <row r="24" spans="1:14">
      <c r="A24" s="261" t="s">
        <v>606</v>
      </c>
      <c r="B24" s="260"/>
      <c r="C24" s="247">
        <v>1</v>
      </c>
      <c r="D24" s="239" t="s">
        <v>99</v>
      </c>
      <c r="E24" s="253" t="s">
        <v>648</v>
      </c>
      <c r="F24" s="251"/>
      <c r="G24" s="348"/>
      <c r="H24" s="321"/>
      <c r="K24" s="6"/>
      <c r="L24" s="6"/>
      <c r="M24" s="6"/>
    </row>
    <row r="25" spans="1:14">
      <c r="A25" s="111" t="s">
        <v>601</v>
      </c>
      <c r="B25" s="17"/>
      <c r="C25" s="56" t="s">
        <v>31</v>
      </c>
      <c r="D25" s="56" t="s">
        <v>11</v>
      </c>
      <c r="E25" s="75" t="s">
        <v>32</v>
      </c>
      <c r="F25" s="87"/>
      <c r="G25" s="349"/>
      <c r="H25" s="346"/>
    </row>
    <row r="26" spans="1:14">
      <c r="A26" s="41" t="s">
        <v>600</v>
      </c>
      <c r="B26" s="40"/>
      <c r="C26" s="265">
        <v>7.9999999999999996E-6</v>
      </c>
      <c r="D26" s="136" t="s">
        <v>19</v>
      </c>
      <c r="E26" s="242" t="s">
        <v>646</v>
      </c>
      <c r="F26" s="41"/>
      <c r="G26" s="321"/>
      <c r="H26" s="321"/>
    </row>
    <row r="27" spans="1:14" ht="15.75" customHeight="1">
      <c r="A27" s="111" t="s">
        <v>573</v>
      </c>
      <c r="B27" s="17"/>
      <c r="C27" s="56" t="s">
        <v>31</v>
      </c>
      <c r="D27" s="56" t="s">
        <v>11</v>
      </c>
      <c r="E27" s="75" t="s">
        <v>32</v>
      </c>
      <c r="F27" s="50"/>
      <c r="G27" s="321"/>
      <c r="H27" s="321"/>
    </row>
    <row r="28" spans="1:14" s="22" customFormat="1">
      <c r="A28" s="46" t="s">
        <v>98</v>
      </c>
      <c r="B28" s="208"/>
      <c r="C28" s="241">
        <f>$C$8/(C23*SQRT(C21*C22))</f>
        <v>1.4990000000000001</v>
      </c>
      <c r="D28" s="254" t="s">
        <v>99</v>
      </c>
      <c r="E28" s="254" t="s">
        <v>579</v>
      </c>
      <c r="F28" s="179"/>
      <c r="G28" s="208"/>
      <c r="H28" s="20"/>
      <c r="I28" s="208"/>
      <c r="J28" s="208"/>
      <c r="K28" s="10"/>
      <c r="L28" s="10"/>
      <c r="M28" s="10"/>
    </row>
    <row r="29" spans="1:14">
      <c r="A29" s="46" t="s">
        <v>603</v>
      </c>
      <c r="B29" s="208"/>
      <c r="C29" s="262">
        <f>C28/4</f>
        <v>0.37475000000000003</v>
      </c>
      <c r="D29" s="252" t="s">
        <v>99</v>
      </c>
      <c r="E29" s="252" t="s">
        <v>656</v>
      </c>
      <c r="F29" s="179"/>
      <c r="G29" s="208"/>
      <c r="H29" s="20"/>
      <c r="I29" s="208"/>
      <c r="J29" s="208"/>
    </row>
    <row r="30" spans="1:14" ht="12" customHeight="1">
      <c r="A30" s="46" t="s">
        <v>581</v>
      </c>
      <c r="B30" s="208"/>
      <c r="C30" s="250">
        <f>2*PI()/$C$28</f>
        <v>4.1915845945160681</v>
      </c>
      <c r="D30" s="252" t="s">
        <v>580</v>
      </c>
      <c r="E30" s="255"/>
      <c r="F30" s="179"/>
      <c r="G30" s="208"/>
      <c r="H30" s="208"/>
      <c r="I30" s="208"/>
      <c r="J30" s="208"/>
      <c r="L30" s="22"/>
      <c r="M30" s="22"/>
    </row>
    <row r="31" spans="1:14" s="22" customFormat="1">
      <c r="A31" s="46" t="s">
        <v>582</v>
      </c>
      <c r="B31" s="208"/>
      <c r="C31" s="250">
        <f>SQRT(($C$10*$C$22)/($C$9*$C$21))</f>
        <v>376.73430918211017</v>
      </c>
      <c r="D31" s="16" t="s">
        <v>570</v>
      </c>
      <c r="E31" s="252" t="s">
        <v>583</v>
      </c>
      <c r="F31" s="179"/>
      <c r="G31" s="208"/>
      <c r="H31" s="208"/>
      <c r="I31" s="208"/>
      <c r="J31" s="208"/>
      <c r="L31" s="10"/>
      <c r="M31" s="10"/>
    </row>
    <row r="32" spans="1:14" s="22" customFormat="1" ht="15">
      <c r="A32" s="46" t="s">
        <v>614</v>
      </c>
      <c r="B32" s="208"/>
      <c r="C32" s="277">
        <f>$C$26*C13</f>
        <v>5.8399999999999999E-4</v>
      </c>
      <c r="D32" s="16" t="s">
        <v>13</v>
      </c>
      <c r="E32" s="252" t="s">
        <v>615</v>
      </c>
      <c r="F32" s="179"/>
      <c r="G32" s="208"/>
      <c r="H32" s="208"/>
      <c r="I32" s="208"/>
      <c r="J32" s="208"/>
      <c r="L32" s="10"/>
      <c r="M32" s="10"/>
    </row>
    <row r="33" spans="1:13" s="22" customFormat="1" ht="15">
      <c r="A33" s="46" t="s">
        <v>613</v>
      </c>
      <c r="B33" s="208"/>
      <c r="C33" s="277">
        <f>$C$26*C14</f>
        <v>2.92E-4</v>
      </c>
      <c r="D33" s="16" t="s">
        <v>13</v>
      </c>
      <c r="E33" s="252" t="s">
        <v>616</v>
      </c>
      <c r="F33" s="179"/>
      <c r="G33" s="208"/>
      <c r="H33" s="208"/>
      <c r="I33" s="208"/>
      <c r="J33" s="208"/>
      <c r="L33" s="10"/>
      <c r="M33" s="10"/>
    </row>
    <row r="34" spans="1:13" s="22" customFormat="1">
      <c r="A34" s="267" t="s">
        <v>617</v>
      </c>
      <c r="B34" s="46"/>
      <c r="C34" s="277">
        <f>IF(C24&gt;C29,1,SIN(2*PI()*C24/C28))</f>
        <v>1</v>
      </c>
      <c r="D34" s="16" t="s">
        <v>102</v>
      </c>
      <c r="E34" s="243" t="s">
        <v>618</v>
      </c>
      <c r="F34" s="179"/>
      <c r="G34" s="208"/>
      <c r="H34" s="208"/>
      <c r="I34" s="208"/>
      <c r="J34" s="208"/>
      <c r="L34" s="10"/>
      <c r="M34" s="10"/>
    </row>
    <row r="35" spans="1:13" s="267" customFormat="1" ht="12" customHeight="1">
      <c r="A35" s="273"/>
      <c r="B35" s="273"/>
      <c r="C35" s="273"/>
      <c r="D35" s="273"/>
      <c r="E35" s="273"/>
      <c r="F35" s="273"/>
    </row>
    <row r="36" spans="1:13" s="274" customFormat="1" ht="36">
      <c r="A36" s="276"/>
      <c r="B36" s="311" t="s">
        <v>625</v>
      </c>
      <c r="C36" s="312"/>
      <c r="D36" s="313" t="s">
        <v>627</v>
      </c>
      <c r="E36" s="314"/>
      <c r="F36" s="281" t="s">
        <v>626</v>
      </c>
      <c r="G36" s="275"/>
      <c r="H36" s="279"/>
      <c r="L36" s="275"/>
      <c r="M36" s="275"/>
    </row>
    <row r="37" spans="1:13" ht="37.5">
      <c r="A37" s="274"/>
      <c r="B37" s="280" t="s">
        <v>649</v>
      </c>
      <c r="C37" s="281" t="s">
        <v>650</v>
      </c>
      <c r="D37" s="280" t="s">
        <v>651</v>
      </c>
      <c r="E37" s="282" t="s">
        <v>652</v>
      </c>
      <c r="F37" s="286" t="s">
        <v>653</v>
      </c>
      <c r="G37" s="278"/>
      <c r="H37" s="278"/>
      <c r="K37" s="22"/>
    </row>
    <row r="38" spans="1:13">
      <c r="A38" s="270" t="s">
        <v>188</v>
      </c>
      <c r="B38" s="270" t="s">
        <v>619</v>
      </c>
      <c r="C38" s="270" t="s">
        <v>621</v>
      </c>
      <c r="D38" s="270" t="s">
        <v>619</v>
      </c>
      <c r="E38" s="270" t="s">
        <v>623</v>
      </c>
      <c r="F38" s="270" t="s">
        <v>654</v>
      </c>
      <c r="H38" s="249"/>
    </row>
    <row r="39" spans="1:13" ht="12">
      <c r="A39" s="10">
        <v>1</v>
      </c>
      <c r="B39" s="271">
        <f>0.628*10^-6*$C$26*$C$23*$C$24/A39</f>
        <v>1.0047999999999999E-3</v>
      </c>
      <c r="C39" s="271">
        <f>1.26*10^-6*$C$26*$C$23*$C$24/A39</f>
        <v>2.016E-3</v>
      </c>
      <c r="D39" s="271">
        <f>SQRT($C$26*$C$26*$C$13*$C$31*$C$11/(4*PI()*A39*A39))</f>
        <v>4.792763461361762E-4</v>
      </c>
      <c r="E39" s="271">
        <f>D39*$C$12/$C$11</f>
        <v>9.5855269227235239E-4</v>
      </c>
      <c r="F39" s="271">
        <f>IF($C$23&gt;($C$8/(2*$C$24)),60/A39*$C$26*2/SIN(SQRT($C$8/($C$23*$C$24)))*$C$34,60/A39*$C$26*2/ABS(SIN(SQRT(2)))*$C$34)</f>
        <v>1.0206460100861323E-3</v>
      </c>
      <c r="H39" s="249"/>
    </row>
    <row r="40" spans="1:13" ht="12">
      <c r="A40" s="10">
        <v>3</v>
      </c>
      <c r="B40" s="271">
        <f>0.628*10^-6*$C$26*$C$23*$C$24/A40</f>
        <v>3.3493333333333331E-4</v>
      </c>
      <c r="C40" s="271">
        <f>1.26*10^-6*$C$26*$C$23*$C$24/A40</f>
        <v>6.7199999999999996E-4</v>
      </c>
      <c r="D40" s="271">
        <f>SQRT($C$26*$C$26*$C$13*$C$31*$C$11/(4*PI()*A40*A40))</f>
        <v>1.5975878204539207E-4</v>
      </c>
      <c r="E40" s="271">
        <f>D40*$C$12/$C$11</f>
        <v>3.1951756409078413E-4</v>
      </c>
      <c r="F40" s="271">
        <f>IF($C$23&gt;($C$8/(2*$C$24)),60/A40*$C$26*2/SIN(SQRT($C$8/($C$23*$C$24)))*$C$34,60/A40*$C$26*2/ABS(SIN(SQRT(2)))*$C$34)</f>
        <v>3.4021533669537741E-4</v>
      </c>
      <c r="H40" s="249"/>
    </row>
    <row r="41" spans="1:13" ht="12">
      <c r="A41" s="10">
        <v>10</v>
      </c>
      <c r="B41" s="271">
        <f>0.628*10^-6*$C$26*$C$23*$C$24/A41</f>
        <v>1.0047999999999999E-4</v>
      </c>
      <c r="C41" s="271">
        <f>1.26*10^-6*$C$26*$C$23*$C$24/A41</f>
        <v>2.0159999999999999E-4</v>
      </c>
      <c r="D41" s="271">
        <f>SQRT($C$26*$C$26*$C$13*$C$31*$C$11/(4*PI()*A41*A41))</f>
        <v>4.7927634613617621E-5</v>
      </c>
      <c r="E41" s="271">
        <f>D41*$C$12/$C$11</f>
        <v>9.5855269227235242E-5</v>
      </c>
      <c r="F41" s="271">
        <f>IF($C$23&gt;($C$8/(2*$C$24)),60/A41*$C$26*2/SIN(SQRT($C$8/($C$23*$C$24)))*$C$34,60/A41*$C$26*2/ABS(SIN(SQRT(2)))*$C$34)</f>
        <v>1.0206460100861324E-4</v>
      </c>
      <c r="H41" s="249"/>
    </row>
    <row r="42" spans="1:13" s="22" customFormat="1" ht="12">
      <c r="A42" s="10">
        <v>100</v>
      </c>
      <c r="B42" s="271">
        <f>0.628*10^-6*$C$26*$C$23*$C$24/A42</f>
        <v>1.0047999999999999E-5</v>
      </c>
      <c r="C42" s="271">
        <f>1.26*10^-6*$C$26*$C$23*$C$24/A42</f>
        <v>2.016E-5</v>
      </c>
      <c r="D42" s="271">
        <f>SQRT($C$26*$C$26*$C$13*$C$31*$C$11/(4*PI()*A42*A42))</f>
        <v>4.7927634613617623E-6</v>
      </c>
      <c r="E42" s="271">
        <f>D42*$C$12/$C$11</f>
        <v>9.5855269227235262E-6</v>
      </c>
      <c r="F42" s="271">
        <f>IF($C$23&gt;($C$8/(2*$C$24)),60/A42*$C$26*2/SIN(SQRT($C$8/($C$23*$C$24)))*$C$34,60/A42*$C$26*2/ABS(SIN(SQRT(2)))*$C$34)</f>
        <v>1.0206460100861323E-5</v>
      </c>
      <c r="H42" s="249"/>
      <c r="K42" s="10"/>
      <c r="L42" s="10"/>
      <c r="M42" s="10"/>
    </row>
    <row r="43" spans="1:13" ht="12">
      <c r="A43" s="10">
        <v>1000</v>
      </c>
      <c r="B43" s="271">
        <f>0.628*10^-6*$C$26*$C$23*$C$24/A43</f>
        <v>1.0047999999999999E-6</v>
      </c>
      <c r="C43" s="271">
        <f>1.26*10^-6*$C$26*$C$23*$C$24/A43</f>
        <v>2.0159999999999998E-6</v>
      </c>
      <c r="D43" s="271">
        <f>SQRT($C$26*$C$26*$C$13*$C$31*$C$11/(4*PI()*A43*A43))</f>
        <v>4.7927634613617629E-7</v>
      </c>
      <c r="E43" s="271">
        <f>D43*$C$12/$C$11</f>
        <v>9.5855269227235258E-7</v>
      </c>
      <c r="F43" s="271">
        <f>IF($C$23&gt;($C$8/(2*$C$24)),60/A43*$C$26*2/SIN(SQRT($C$8/($C$23*$C$24)))*$C$34,60/A43*$C$26*2/ABS(SIN(SQRT(2)))*$C$34)</f>
        <v>1.0206460100861323E-6</v>
      </c>
      <c r="H43" s="278"/>
    </row>
    <row r="44" spans="1:13">
      <c r="A44" s="259" t="s">
        <v>188</v>
      </c>
      <c r="B44" s="270" t="s">
        <v>620</v>
      </c>
      <c r="C44" s="270" t="s">
        <v>622</v>
      </c>
      <c r="D44" s="270" t="s">
        <v>619</v>
      </c>
      <c r="E44" s="270" t="s">
        <v>624</v>
      </c>
      <c r="F44" s="270" t="s">
        <v>654</v>
      </c>
      <c r="H44" s="256"/>
      <c r="K44" s="22"/>
      <c r="L44" s="22"/>
      <c r="M44" s="22"/>
    </row>
    <row r="45" spans="1:13" ht="12">
      <c r="A45" s="10">
        <v>1</v>
      </c>
      <c r="B45" s="272">
        <f t="shared" ref="B45:F49" si="0">20*LOG10(B39/0.000001)</f>
        <v>60.04159252786242</v>
      </c>
      <c r="C45" s="272">
        <f t="shared" si="0"/>
        <v>66.089810555469754</v>
      </c>
      <c r="D45" s="272">
        <f t="shared" si="0"/>
        <v>53.611719913195785</v>
      </c>
      <c r="E45" s="272">
        <f t="shared" si="0"/>
        <v>59.63231982647541</v>
      </c>
      <c r="F45" s="272">
        <f t="shared" si="0"/>
        <v>60.177502843242422</v>
      </c>
      <c r="H45" s="256"/>
    </row>
    <row r="46" spans="1:13" ht="12" customHeight="1">
      <c r="A46" s="10">
        <v>3</v>
      </c>
      <c r="B46" s="272">
        <f t="shared" si="0"/>
        <v>50.499167433469168</v>
      </c>
      <c r="C46" s="272">
        <f t="shared" si="0"/>
        <v>56.547385461076509</v>
      </c>
      <c r="D46" s="272">
        <f t="shared" si="0"/>
        <v>44.06929481880254</v>
      </c>
      <c r="E46" s="272">
        <f t="shared" si="0"/>
        <v>50.089894732082158</v>
      </c>
      <c r="F46" s="272">
        <f t="shared" si="0"/>
        <v>50.63507774884917</v>
      </c>
      <c r="H46" s="256"/>
    </row>
    <row r="47" spans="1:13" ht="12">
      <c r="A47" s="10">
        <v>10</v>
      </c>
      <c r="B47" s="272">
        <f t="shared" si="0"/>
        <v>40.041592527862413</v>
      </c>
      <c r="C47" s="272">
        <f t="shared" si="0"/>
        <v>46.089810555469754</v>
      </c>
      <c r="D47" s="272">
        <f t="shared" si="0"/>
        <v>33.611719913195785</v>
      </c>
      <c r="E47" s="272">
        <f t="shared" si="0"/>
        <v>39.63231982647541</v>
      </c>
      <c r="F47" s="272">
        <f t="shared" si="0"/>
        <v>40.177502843242422</v>
      </c>
      <c r="H47" s="256"/>
    </row>
    <row r="48" spans="1:13">
      <c r="A48" s="10">
        <v>100</v>
      </c>
      <c r="B48" s="272">
        <f t="shared" si="0"/>
        <v>20.041592527862417</v>
      </c>
      <c r="C48" s="272">
        <f t="shared" si="0"/>
        <v>26.089810555469754</v>
      </c>
      <c r="D48" s="272">
        <f t="shared" si="0"/>
        <v>13.611719913195783</v>
      </c>
      <c r="E48" s="272">
        <f t="shared" si="0"/>
        <v>19.63231982647541</v>
      </c>
      <c r="F48" s="272">
        <f t="shared" si="0"/>
        <v>20.177502843242419</v>
      </c>
      <c r="H48" s="256"/>
      <c r="J48" s="266"/>
      <c r="K48" s="120"/>
      <c r="L48" s="120"/>
      <c r="M48" s="120"/>
    </row>
    <row r="49" spans="1:13" ht="12">
      <c r="A49" s="10">
        <v>1000</v>
      </c>
      <c r="B49" s="272">
        <f t="shared" si="0"/>
        <v>4.1592527862417433E-2</v>
      </c>
      <c r="C49" s="272">
        <f t="shared" si="0"/>
        <v>6.0898105554697537</v>
      </c>
      <c r="D49" s="272">
        <f t="shared" si="0"/>
        <v>-6.3882800868042153</v>
      </c>
      <c r="E49" s="272">
        <f t="shared" si="0"/>
        <v>-0.36768017352459192</v>
      </c>
      <c r="F49" s="272">
        <f t="shared" si="0"/>
        <v>0.17750284324241863</v>
      </c>
      <c r="K49" s="22"/>
      <c r="L49" s="22"/>
      <c r="M49" s="22"/>
    </row>
    <row r="50" spans="1:13">
      <c r="I50" s="120"/>
      <c r="J50" s="120"/>
    </row>
    <row r="51" spans="1:13">
      <c r="A51" s="1" t="s">
        <v>210</v>
      </c>
      <c r="G51" s="120"/>
      <c r="H51" s="120"/>
      <c r="I51" s="22"/>
      <c r="J51" s="22"/>
    </row>
    <row r="52" spans="1:13">
      <c r="A52" s="120" t="s">
        <v>605</v>
      </c>
      <c r="B52" s="120"/>
      <c r="C52" s="120"/>
      <c r="D52" s="120"/>
      <c r="E52" s="120"/>
      <c r="F52" s="120"/>
      <c r="G52" s="22"/>
      <c r="H52" s="22"/>
    </row>
    <row r="53" spans="1:13">
      <c r="A53" s="1" t="s">
        <v>602</v>
      </c>
      <c r="B53" s="22"/>
      <c r="C53" s="22"/>
      <c r="D53" s="22"/>
      <c r="E53" s="22"/>
      <c r="F53" s="22"/>
    </row>
    <row r="54" spans="1:13">
      <c r="A54" s="1" t="s">
        <v>612</v>
      </c>
      <c r="F54" s="10"/>
    </row>
    <row r="65" spans="1:8">
      <c r="A65" s="264"/>
      <c r="B65" s="264"/>
      <c r="C65" s="264"/>
      <c r="D65" s="264"/>
      <c r="E65" s="264"/>
      <c r="F65" s="264"/>
      <c r="G65" s="264"/>
    </row>
    <row r="66" spans="1:8">
      <c r="A66" s="36"/>
      <c r="B66" s="35"/>
      <c r="C66" s="35"/>
      <c r="D66" s="35"/>
      <c r="E66" s="35"/>
      <c r="F66" s="37"/>
      <c r="G66" s="37"/>
      <c r="H66" s="22"/>
    </row>
    <row r="67" spans="1:8">
      <c r="A67" s="35"/>
      <c r="B67" s="35"/>
      <c r="C67" s="35"/>
      <c r="D67" s="35"/>
      <c r="E67" s="35"/>
      <c r="F67" s="37"/>
      <c r="G67" s="35"/>
    </row>
    <row r="70" spans="1:8" ht="12">
      <c r="A70" s="263"/>
      <c r="B70" s="263"/>
      <c r="C70" s="263"/>
      <c r="D70" s="263"/>
      <c r="E70" s="263"/>
      <c r="F70" s="263"/>
    </row>
    <row r="71" spans="1:8" ht="12">
      <c r="A71" s="263"/>
      <c r="B71" s="263"/>
      <c r="C71" s="263"/>
      <c r="D71" s="263"/>
      <c r="E71" s="263"/>
      <c r="F71" s="263"/>
    </row>
    <row r="72" spans="1:8" ht="12">
      <c r="A72" s="263"/>
      <c r="B72" s="263"/>
      <c r="C72" s="263"/>
      <c r="D72" s="263"/>
      <c r="E72" s="263"/>
      <c r="F72" s="263"/>
    </row>
  </sheetData>
  <sheetProtection sheet="1" objects="1" scenarios="1" selectLockedCells="1"/>
  <mergeCells count="2">
    <mergeCell ref="B36:C36"/>
    <mergeCell ref="D36:E36"/>
  </mergeCells>
  <conditionalFormatting sqref="C29">
    <cfRule type="cellIs" dxfId="0" priority="1" operator="lessThan">
      <formula>$C$24</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FE670-5AC8-4825-A85E-970481A8D04F}">
  <sheetPr>
    <pageSetUpPr fitToPage="1"/>
  </sheetPr>
  <dimension ref="A1:N68"/>
  <sheetViews>
    <sheetView zoomScaleNormal="100" workbookViewId="0">
      <selection activeCell="C28" activeCellId="1" sqref="C25:C26 C28:C29"/>
    </sheetView>
  </sheetViews>
  <sheetFormatPr defaultColWidth="11.42578125" defaultRowHeight="13.5"/>
  <cols>
    <col min="1" max="1" width="8.5703125" style="10" customWidth="1"/>
    <col min="2" max="2" width="12.42578125" style="10" customWidth="1"/>
    <col min="3" max="5" width="10.28515625" style="10" customWidth="1"/>
    <col min="6" max="6" width="10.28515625" style="1" customWidth="1"/>
    <col min="7" max="10" width="10.28515625" style="10" customWidth="1"/>
    <col min="11" max="16384" width="11.42578125" style="10"/>
  </cols>
  <sheetData>
    <row r="1" spans="1:14">
      <c r="A1" s="39" t="s">
        <v>192</v>
      </c>
      <c r="B1" s="1"/>
      <c r="C1" s="1"/>
      <c r="D1" s="1"/>
      <c r="E1" s="1"/>
      <c r="G1" s="1"/>
      <c r="H1" s="1"/>
    </row>
    <row r="2" spans="1:14">
      <c r="A2" s="1"/>
      <c r="B2" s="1"/>
      <c r="C2" s="1"/>
      <c r="D2" s="1"/>
      <c r="E2" s="1"/>
      <c r="G2" s="1"/>
      <c r="H2" s="1"/>
    </row>
    <row r="3" spans="1:14">
      <c r="A3" s="1" t="s">
        <v>1</v>
      </c>
      <c r="B3" s="43" t="s">
        <v>2</v>
      </c>
      <c r="C3" s="1"/>
      <c r="D3" s="1"/>
      <c r="E3" s="1"/>
      <c r="F3" s="44" t="s">
        <v>42</v>
      </c>
      <c r="G3" s="48"/>
      <c r="H3" s="48"/>
      <c r="I3" s="71" t="s">
        <v>31</v>
      </c>
      <c r="J3" s="45" t="s">
        <v>11</v>
      </c>
    </row>
    <row r="4" spans="1:14">
      <c r="A4" s="1" t="s">
        <v>3</v>
      </c>
      <c r="B4" s="1" t="s">
        <v>4</v>
      </c>
      <c r="C4" s="1"/>
      <c r="D4" s="1"/>
      <c r="E4" s="1"/>
      <c r="F4" s="46" t="s">
        <v>97</v>
      </c>
      <c r="G4" s="2"/>
      <c r="H4" s="2"/>
      <c r="I4" s="16">
        <v>299800000</v>
      </c>
      <c r="J4" s="16" t="s">
        <v>46</v>
      </c>
    </row>
    <row r="5" spans="1:14">
      <c r="A5" s="1" t="s">
        <v>5</v>
      </c>
      <c r="B5" s="1" t="s">
        <v>39</v>
      </c>
      <c r="C5" s="1"/>
      <c r="D5" s="1"/>
      <c r="E5" s="1"/>
      <c r="F5" s="46" t="s">
        <v>49</v>
      </c>
      <c r="G5" s="2"/>
      <c r="H5" s="2"/>
      <c r="I5" s="16">
        <v>8.8539999999999992E-12</v>
      </c>
      <c r="J5" s="16" t="s">
        <v>50</v>
      </c>
    </row>
    <row r="6" spans="1:14">
      <c r="A6" s="1"/>
      <c r="B6" s="1"/>
      <c r="C6" s="1"/>
      <c r="D6" s="1"/>
      <c r="E6" s="1"/>
      <c r="F6" s="46" t="s">
        <v>53</v>
      </c>
      <c r="G6" s="2"/>
      <c r="H6" s="2"/>
      <c r="I6" s="16">
        <f>4*PI()*0.0000001</f>
        <v>1.2566370614359173E-6</v>
      </c>
      <c r="J6" s="16" t="s">
        <v>54</v>
      </c>
    </row>
    <row r="8" spans="1:14">
      <c r="A8" s="1" t="s">
        <v>193</v>
      </c>
    </row>
    <row r="9" spans="1:14">
      <c r="K9" s="6"/>
      <c r="L9" s="6"/>
      <c r="M9" s="6"/>
      <c r="N9" s="6"/>
    </row>
    <row r="10" spans="1:14">
      <c r="K10" s="6"/>
      <c r="L10" s="6"/>
      <c r="M10" s="6"/>
      <c r="N10" s="6"/>
    </row>
    <row r="11" spans="1:14">
      <c r="A11" s="44" t="s">
        <v>10</v>
      </c>
      <c r="B11" s="44"/>
      <c r="C11" s="44"/>
      <c r="D11" s="45" t="s">
        <v>11</v>
      </c>
      <c r="E11" s="2"/>
      <c r="K11" s="6"/>
      <c r="L11" s="6"/>
      <c r="M11" s="6"/>
      <c r="N11" s="6"/>
    </row>
    <row r="12" spans="1:14">
      <c r="A12" s="1" t="s">
        <v>95</v>
      </c>
      <c r="B12" s="1"/>
      <c r="C12" s="46"/>
      <c r="D12" s="16" t="s">
        <v>96</v>
      </c>
      <c r="E12" s="2"/>
      <c r="K12" s="6"/>
      <c r="L12" s="6"/>
      <c r="M12" s="6"/>
      <c r="N12" s="6"/>
    </row>
    <row r="13" spans="1:14">
      <c r="A13" s="1" t="s">
        <v>98</v>
      </c>
      <c r="B13" s="1"/>
      <c r="C13" s="46"/>
      <c r="D13" s="16" t="s">
        <v>99</v>
      </c>
      <c r="E13" s="2"/>
      <c r="K13" s="6"/>
      <c r="L13" s="6"/>
      <c r="M13" s="6"/>
      <c r="N13" s="6"/>
    </row>
    <row r="14" spans="1:14">
      <c r="A14" s="46" t="s">
        <v>100</v>
      </c>
      <c r="B14" s="1"/>
      <c r="C14" s="46"/>
      <c r="D14" s="16" t="s">
        <v>102</v>
      </c>
      <c r="E14" s="2"/>
      <c r="K14" s="6"/>
      <c r="L14" s="6"/>
      <c r="M14" s="6"/>
      <c r="N14" s="6"/>
    </row>
    <row r="15" spans="1:14">
      <c r="A15" s="46" t="s">
        <v>103</v>
      </c>
      <c r="B15" s="1"/>
      <c r="C15" s="46"/>
      <c r="D15" s="16" t="s">
        <v>102</v>
      </c>
      <c r="E15" s="2"/>
      <c r="F15" s="2"/>
      <c r="G15" s="2"/>
      <c r="H15" s="2"/>
      <c r="I15" s="2"/>
      <c r="J15" s="2"/>
      <c r="K15" s="6"/>
      <c r="L15" s="6"/>
      <c r="M15" s="6"/>
      <c r="N15" s="6"/>
    </row>
    <row r="16" spans="1:14">
      <c r="A16" s="1" t="s">
        <v>116</v>
      </c>
      <c r="B16" s="1"/>
      <c r="C16" s="46"/>
      <c r="D16" s="16" t="s">
        <v>117</v>
      </c>
      <c r="E16" s="2"/>
      <c r="F16" s="2"/>
      <c r="G16" s="2"/>
      <c r="H16" s="2"/>
      <c r="I16" s="2"/>
      <c r="J16" s="2"/>
      <c r="K16" s="6"/>
      <c r="L16" s="6"/>
      <c r="M16" s="6"/>
      <c r="N16" s="6"/>
    </row>
    <row r="17" spans="1:14">
      <c r="A17" s="1" t="s">
        <v>118</v>
      </c>
      <c r="B17" s="1"/>
      <c r="C17" s="46"/>
      <c r="D17" s="16" t="s">
        <v>117</v>
      </c>
      <c r="E17" s="2"/>
      <c r="F17" s="2"/>
      <c r="G17" s="2"/>
      <c r="H17" s="2"/>
      <c r="I17" s="2"/>
      <c r="J17" s="2"/>
      <c r="K17" s="6"/>
      <c r="L17" s="6"/>
      <c r="M17" s="6"/>
      <c r="N17" s="6"/>
    </row>
    <row r="18" spans="1:14">
      <c r="A18" s="1" t="s">
        <v>189</v>
      </c>
      <c r="B18" s="1"/>
      <c r="C18" s="46"/>
      <c r="D18" s="16" t="s">
        <v>191</v>
      </c>
      <c r="E18" s="2"/>
      <c r="F18" s="2"/>
      <c r="G18" s="2"/>
      <c r="H18" s="2"/>
      <c r="I18" s="2"/>
      <c r="J18" s="2"/>
      <c r="K18" s="6"/>
      <c r="L18" s="6"/>
      <c r="M18" s="6"/>
      <c r="N18" s="6"/>
    </row>
    <row r="19" spans="1:14">
      <c r="A19" s="1" t="s">
        <v>190</v>
      </c>
      <c r="B19" s="1"/>
      <c r="C19" s="46"/>
      <c r="D19" s="16" t="s">
        <v>191</v>
      </c>
      <c r="E19" s="2"/>
      <c r="F19" s="2"/>
      <c r="G19" s="2"/>
      <c r="H19" s="2"/>
      <c r="I19" s="2"/>
      <c r="J19" s="2"/>
      <c r="K19" s="6"/>
      <c r="L19" s="6"/>
      <c r="M19" s="6"/>
      <c r="N19" s="6"/>
    </row>
    <row r="20" spans="1:14">
      <c r="A20" s="1"/>
      <c r="B20" s="1"/>
      <c r="C20" s="46"/>
      <c r="D20" s="46"/>
      <c r="E20" s="2"/>
      <c r="F20" s="2"/>
      <c r="G20" s="2"/>
      <c r="H20" s="2"/>
      <c r="I20" s="2"/>
      <c r="J20" s="2"/>
    </row>
    <row r="21" spans="1:14">
      <c r="A21" s="50"/>
      <c r="B21" s="50"/>
      <c r="C21" s="81"/>
      <c r="D21" s="81"/>
      <c r="E21" s="51"/>
      <c r="F21" s="51"/>
      <c r="G21" s="51"/>
      <c r="H21" s="51"/>
      <c r="I21" s="51"/>
      <c r="J21" s="51"/>
    </row>
    <row r="22" spans="1:14">
      <c r="A22" s="49" t="s">
        <v>119</v>
      </c>
      <c r="B22" s="40"/>
      <c r="C22" s="40"/>
      <c r="D22" s="44"/>
      <c r="E22" s="44"/>
      <c r="F22" s="40"/>
      <c r="G22" s="40"/>
      <c r="H22" s="41"/>
      <c r="I22" s="40"/>
      <c r="J22" s="40"/>
    </row>
    <row r="23" spans="1:14">
      <c r="A23" s="41" t="s">
        <v>120</v>
      </c>
      <c r="B23" s="40"/>
      <c r="C23" s="40"/>
      <c r="D23" s="44"/>
      <c r="E23" s="44"/>
      <c r="F23" s="48"/>
      <c r="G23" s="48"/>
      <c r="H23" s="41"/>
      <c r="I23" s="40"/>
      <c r="J23" s="40"/>
    </row>
    <row r="24" spans="1:14">
      <c r="A24" s="44" t="s">
        <v>30</v>
      </c>
      <c r="B24" s="44"/>
      <c r="C24" s="28" t="s">
        <v>31</v>
      </c>
      <c r="D24" s="56" t="s">
        <v>11</v>
      </c>
      <c r="E24" s="57" t="s">
        <v>32</v>
      </c>
      <c r="F24" s="48"/>
      <c r="G24" s="48"/>
      <c r="H24" s="41"/>
      <c r="I24" s="40"/>
      <c r="J24" s="40"/>
    </row>
    <row r="25" spans="1:14" ht="15.75" customHeight="1">
      <c r="A25" s="16" t="s">
        <v>100</v>
      </c>
      <c r="C25" s="12" t="s">
        <v>101</v>
      </c>
      <c r="D25" s="10" t="s">
        <v>102</v>
      </c>
      <c r="E25" s="16" t="s">
        <v>121</v>
      </c>
      <c r="F25" s="10"/>
      <c r="H25" s="1"/>
    </row>
    <row r="26" spans="1:14">
      <c r="A26" s="74" t="s">
        <v>103</v>
      </c>
      <c r="B26" s="17"/>
      <c r="C26" s="23" t="s">
        <v>101</v>
      </c>
      <c r="D26" s="17" t="s">
        <v>102</v>
      </c>
      <c r="E26" s="74" t="s">
        <v>122</v>
      </c>
      <c r="F26" s="17"/>
      <c r="G26" s="17"/>
      <c r="H26" s="50"/>
      <c r="I26" s="17"/>
      <c r="J26" s="17"/>
    </row>
    <row r="27" spans="1:14">
      <c r="A27" s="49" t="s">
        <v>36</v>
      </c>
      <c r="B27" s="17"/>
      <c r="C27" s="19"/>
      <c r="D27" s="72"/>
      <c r="E27" s="73" t="s">
        <v>111</v>
      </c>
      <c r="F27" s="87" t="s">
        <v>123</v>
      </c>
      <c r="G27" s="75" t="s">
        <v>32</v>
      </c>
      <c r="H27" s="42"/>
      <c r="I27" s="42"/>
      <c r="J27" s="40"/>
    </row>
    <row r="28" spans="1:14">
      <c r="A28" s="1" t="s">
        <v>95</v>
      </c>
      <c r="B28" s="1"/>
      <c r="C28" s="12" t="s">
        <v>124</v>
      </c>
      <c r="D28" s="46" t="s">
        <v>125</v>
      </c>
      <c r="E28" s="18"/>
      <c r="F28" s="20">
        <f>$I$4/(C28*SQRT(C25*C26))</f>
        <v>0.29980000000000001</v>
      </c>
      <c r="G28" s="16" t="s">
        <v>126</v>
      </c>
    </row>
    <row r="29" spans="1:14">
      <c r="A29" s="1" t="s">
        <v>98</v>
      </c>
      <c r="B29" s="1"/>
      <c r="C29" s="12" t="s">
        <v>127</v>
      </c>
      <c r="D29" s="46" t="s">
        <v>99</v>
      </c>
      <c r="E29" s="21">
        <f>$I$4/(C29*SQRT(C25*C26))</f>
        <v>2126241134.7517734</v>
      </c>
      <c r="F29" s="4"/>
      <c r="G29" s="16" t="s">
        <v>126</v>
      </c>
    </row>
    <row r="30" spans="1:14" s="22" customFormat="1">
      <c r="A30" s="10"/>
      <c r="B30" s="10"/>
      <c r="C30" s="10"/>
      <c r="D30" s="10" t="s">
        <v>19</v>
      </c>
      <c r="E30" s="10" t="s">
        <v>565</v>
      </c>
      <c r="F30" s="1"/>
      <c r="G30" s="10"/>
      <c r="H30" s="10"/>
      <c r="I30" s="10"/>
      <c r="J30" s="10"/>
    </row>
    <row r="31" spans="1:14">
      <c r="A31" s="10" t="s">
        <v>566</v>
      </c>
      <c r="D31" s="10" t="s">
        <v>19</v>
      </c>
    </row>
    <row r="32" spans="1:14">
      <c r="A32" s="10" t="s">
        <v>569</v>
      </c>
      <c r="H32" s="20"/>
    </row>
    <row r="33" spans="1:4" ht="14.25">
      <c r="A33" s="10" t="s">
        <v>188</v>
      </c>
      <c r="B33" s="10" t="s">
        <v>567</v>
      </c>
      <c r="C33" s="10" t="s">
        <v>568</v>
      </c>
    </row>
    <row r="34" spans="1:4">
      <c r="A34" s="10">
        <v>1</v>
      </c>
    </row>
    <row r="35" spans="1:4">
      <c r="A35" s="10">
        <v>3</v>
      </c>
    </row>
    <row r="36" spans="1:4">
      <c r="A36" s="10">
        <v>10</v>
      </c>
    </row>
    <row r="37" spans="1:4">
      <c r="A37" s="10">
        <v>100</v>
      </c>
    </row>
    <row r="38" spans="1:4" s="22" customFormat="1" ht="12">
      <c r="A38" s="10">
        <v>1000</v>
      </c>
      <c r="B38" s="10"/>
      <c r="C38" s="10"/>
      <c r="D38" s="10"/>
    </row>
    <row r="42" spans="1:4" ht="12" customHeight="1"/>
    <row r="59" spans="1:8">
      <c r="A59" s="315" t="s">
        <v>128</v>
      </c>
      <c r="B59" s="315"/>
      <c r="C59" s="315"/>
      <c r="D59" s="315"/>
      <c r="E59" s="315"/>
      <c r="F59" s="315"/>
      <c r="G59" s="315"/>
    </row>
    <row r="60" spans="1:8">
      <c r="A60" s="36"/>
      <c r="B60" s="35" t="s">
        <v>129</v>
      </c>
      <c r="C60" s="35" t="s">
        <v>130</v>
      </c>
      <c r="D60" s="35" t="s">
        <v>131</v>
      </c>
      <c r="E60" s="35" t="s">
        <v>132</v>
      </c>
      <c r="F60" s="37" t="s">
        <v>133</v>
      </c>
      <c r="G60" s="37" t="s">
        <v>134</v>
      </c>
      <c r="H60" s="22"/>
    </row>
    <row r="61" spans="1:8">
      <c r="A61" s="35"/>
      <c r="B61" s="35" t="s">
        <v>135</v>
      </c>
      <c r="C61" s="35"/>
      <c r="D61" s="35"/>
      <c r="E61" s="35"/>
      <c r="F61" s="37"/>
      <c r="G61" s="35"/>
    </row>
    <row r="64" spans="1:8" ht="12">
      <c r="A64" s="316" t="s">
        <v>37</v>
      </c>
      <c r="B64" s="316"/>
      <c r="C64" s="316"/>
      <c r="D64" s="316"/>
      <c r="E64" s="316"/>
      <c r="F64" s="316"/>
    </row>
    <row r="65" spans="1:6" ht="12">
      <c r="A65" s="316"/>
      <c r="B65" s="316"/>
      <c r="C65" s="316"/>
      <c r="D65" s="316"/>
      <c r="E65" s="316"/>
      <c r="F65" s="316"/>
    </row>
    <row r="66" spans="1:6" ht="12">
      <c r="A66" s="316"/>
      <c r="B66" s="316"/>
      <c r="C66" s="316"/>
      <c r="D66" s="316"/>
      <c r="E66" s="316"/>
      <c r="F66" s="316"/>
    </row>
    <row r="68" spans="1:6">
      <c r="A68" s="10" t="s">
        <v>187</v>
      </c>
    </row>
  </sheetData>
  <mergeCells count="2">
    <mergeCell ref="A59:G59"/>
    <mergeCell ref="A64:F66"/>
  </mergeCells>
  <pageMargins left="0.25" right="0.25" top="0.75" bottom="0.75" header="0.3" footer="0.3"/>
  <pageSetup paperSize="9" scale="9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5E8B-BF88-4303-BCB0-C8173A9C4541}">
  <dimension ref="A1:M51"/>
  <sheetViews>
    <sheetView zoomScale="85" zoomScaleNormal="85" workbookViewId="0">
      <selection activeCell="H2" sqref="H2"/>
    </sheetView>
  </sheetViews>
  <sheetFormatPr defaultColWidth="10.28515625" defaultRowHeight="15"/>
  <cols>
    <col min="1" max="1" width="37.85546875" customWidth="1"/>
    <col min="2" max="3" width="15.85546875" style="217" customWidth="1"/>
    <col min="4" max="6" width="15.85546875" style="186" customWidth="1"/>
    <col min="7" max="7" width="6.140625" style="186" customWidth="1"/>
    <col min="8" max="8" width="14.5703125" bestFit="1" customWidth="1"/>
    <col min="9" max="9" width="16.5703125" style="217" bestFit="1" customWidth="1"/>
    <col min="10" max="10" width="12.7109375" style="217" bestFit="1" customWidth="1"/>
    <col min="11" max="11" width="63" bestFit="1" customWidth="1"/>
    <col min="12" max="12" width="58.28515625" customWidth="1"/>
  </cols>
  <sheetData>
    <row r="1" spans="1:12" s="186" customFormat="1" ht="66">
      <c r="A1" s="182"/>
      <c r="B1" s="183" t="s">
        <v>335</v>
      </c>
      <c r="C1" s="183" t="s">
        <v>336</v>
      </c>
      <c r="D1" s="183" t="s">
        <v>337</v>
      </c>
      <c r="E1" s="183" t="s">
        <v>338</v>
      </c>
      <c r="F1" s="183" t="s">
        <v>339</v>
      </c>
      <c r="G1" s="184"/>
      <c r="H1" s="185" t="s">
        <v>340</v>
      </c>
      <c r="I1" s="183" t="s">
        <v>341</v>
      </c>
      <c r="J1" s="183" t="s">
        <v>342</v>
      </c>
      <c r="K1" s="184" t="s">
        <v>343</v>
      </c>
    </row>
    <row r="2" spans="1:12">
      <c r="A2" t="s">
        <v>344</v>
      </c>
      <c r="B2" s="187" t="s">
        <v>345</v>
      </c>
      <c r="C2" s="188" t="s">
        <v>346</v>
      </c>
      <c r="D2" s="188" t="s">
        <v>346</v>
      </c>
      <c r="E2" s="188" t="s">
        <v>346</v>
      </c>
      <c r="F2" s="188" t="s">
        <v>346</v>
      </c>
      <c r="G2" s="189"/>
      <c r="H2" s="190">
        <f>1/I2</f>
        <v>2.6178010471204188E-8</v>
      </c>
      <c r="I2" s="191">
        <v>38200000</v>
      </c>
      <c r="J2" s="192">
        <f>1/$I$11*I2</f>
        <v>0.6563573883161512</v>
      </c>
      <c r="K2" t="s">
        <v>347</v>
      </c>
      <c r="L2" t="s">
        <v>348</v>
      </c>
    </row>
    <row r="3" spans="1:12">
      <c r="A3" s="193" t="s">
        <v>349</v>
      </c>
      <c r="B3" s="194" t="s">
        <v>350</v>
      </c>
      <c r="C3" s="195" t="s">
        <v>346</v>
      </c>
      <c r="D3" s="195" t="s">
        <v>346</v>
      </c>
      <c r="E3" s="195" t="s">
        <v>346</v>
      </c>
      <c r="F3" s="195" t="s">
        <v>346</v>
      </c>
      <c r="G3" s="189"/>
      <c r="H3" s="196" t="s">
        <v>346</v>
      </c>
      <c r="I3" s="195" t="s">
        <v>346</v>
      </c>
      <c r="J3" s="195" t="s">
        <v>346</v>
      </c>
      <c r="K3" t="s">
        <v>347</v>
      </c>
      <c r="L3" t="s">
        <v>348</v>
      </c>
    </row>
    <row r="4" spans="1:12" s="181" customFormat="1">
      <c r="A4" s="193" t="s">
        <v>351</v>
      </c>
      <c r="B4" s="194" t="s">
        <v>352</v>
      </c>
      <c r="C4" s="195" t="s">
        <v>346</v>
      </c>
      <c r="D4" s="195" t="s">
        <v>346</v>
      </c>
      <c r="E4" s="195" t="s">
        <v>346</v>
      </c>
      <c r="F4" s="195" t="s">
        <v>346</v>
      </c>
      <c r="G4" s="189"/>
      <c r="H4" s="197">
        <f t="shared" ref="H4:H23" si="0">1/I4</f>
        <v>4.5662100456621004E-8</v>
      </c>
      <c r="I4" s="198">
        <v>21900000</v>
      </c>
      <c r="J4" s="199">
        <f t="shared" ref="J4:J11" si="1">1/$I$11*I4</f>
        <v>0.37628865979381443</v>
      </c>
      <c r="K4" s="181" t="s">
        <v>353</v>
      </c>
      <c r="L4" t="s">
        <v>354</v>
      </c>
    </row>
    <row r="5" spans="1:12" s="181" customFormat="1">
      <c r="A5" s="193" t="s">
        <v>355</v>
      </c>
      <c r="B5" s="194" t="s">
        <v>356</v>
      </c>
      <c r="C5" s="195" t="s">
        <v>346</v>
      </c>
      <c r="D5" s="195" t="s">
        <v>346</v>
      </c>
      <c r="E5" s="195" t="s">
        <v>346</v>
      </c>
      <c r="F5" s="195" t="s">
        <v>346</v>
      </c>
      <c r="G5" s="189"/>
      <c r="H5" s="197">
        <f t="shared" si="0"/>
        <v>1.1494252873563219E-6</v>
      </c>
      <c r="I5" s="198">
        <v>870000</v>
      </c>
      <c r="J5" s="199">
        <f t="shared" si="1"/>
        <v>1.4948453608247422E-2</v>
      </c>
      <c r="K5" t="s">
        <v>347</v>
      </c>
      <c r="L5" t="s">
        <v>348</v>
      </c>
    </row>
    <row r="6" spans="1:12" ht="15.75">
      <c r="A6" s="193" t="s">
        <v>357</v>
      </c>
      <c r="B6" s="194" t="s">
        <v>358</v>
      </c>
      <c r="C6" s="195" t="s">
        <v>346</v>
      </c>
      <c r="D6" s="195" t="s">
        <v>346</v>
      </c>
      <c r="E6" s="195" t="s">
        <v>346</v>
      </c>
      <c r="F6" s="195" t="s">
        <v>346</v>
      </c>
      <c r="G6" s="189"/>
      <c r="H6" s="197">
        <f t="shared" si="0"/>
        <v>3.9062500000000003E-8</v>
      </c>
      <c r="I6" s="198">
        <v>25600000</v>
      </c>
      <c r="J6" s="199">
        <f t="shared" si="1"/>
        <v>0.43986254295532645</v>
      </c>
      <c r="K6" t="s">
        <v>348</v>
      </c>
    </row>
    <row r="7" spans="1:12">
      <c r="A7" s="193" t="s">
        <v>359</v>
      </c>
      <c r="B7" s="194" t="s">
        <v>360</v>
      </c>
      <c r="C7" s="195" t="s">
        <v>346</v>
      </c>
      <c r="D7" s="195" t="s">
        <v>346</v>
      </c>
      <c r="E7" s="195" t="s">
        <v>346</v>
      </c>
      <c r="F7" s="195" t="s">
        <v>346</v>
      </c>
      <c r="G7" s="189"/>
      <c r="H7" s="197">
        <f t="shared" si="0"/>
        <v>9.433962264150943E-8</v>
      </c>
      <c r="I7" s="198">
        <v>10600000</v>
      </c>
      <c r="J7" s="199">
        <f t="shared" si="1"/>
        <v>0.18213058419243985</v>
      </c>
      <c r="K7" t="s">
        <v>348</v>
      </c>
    </row>
    <row r="8" spans="1:12">
      <c r="A8" s="193" t="s">
        <v>361</v>
      </c>
      <c r="B8" s="194" t="s">
        <v>360</v>
      </c>
      <c r="C8" s="195" t="s">
        <v>346</v>
      </c>
      <c r="D8" s="195" t="s">
        <v>346</v>
      </c>
      <c r="E8" s="195" t="s">
        <v>346</v>
      </c>
      <c r="F8" s="195" t="s">
        <v>346</v>
      </c>
      <c r="G8" s="189"/>
      <c r="H8" s="197">
        <f t="shared" si="0"/>
        <v>7.518796992481203E-8</v>
      </c>
      <c r="I8" s="198">
        <v>13300000</v>
      </c>
      <c r="J8" s="199">
        <f t="shared" si="1"/>
        <v>0.22852233676975944</v>
      </c>
      <c r="K8" t="s">
        <v>348</v>
      </c>
    </row>
    <row r="9" spans="1:12">
      <c r="A9" s="193" t="s">
        <v>362</v>
      </c>
      <c r="B9" s="194" t="s">
        <v>363</v>
      </c>
      <c r="C9" s="195" t="s">
        <v>346</v>
      </c>
      <c r="D9" s="195" t="s">
        <v>346</v>
      </c>
      <c r="E9" s="195" t="s">
        <v>346</v>
      </c>
      <c r="F9" s="195" t="s">
        <v>346</v>
      </c>
      <c r="G9" s="189"/>
      <c r="H9" s="197">
        <f t="shared" si="0"/>
        <v>2.5974025974025973E-8</v>
      </c>
      <c r="I9" s="198">
        <v>38500000</v>
      </c>
      <c r="J9" s="199">
        <f t="shared" si="1"/>
        <v>0.66151202749140892</v>
      </c>
      <c r="K9" t="s">
        <v>347</v>
      </c>
      <c r="L9" t="s">
        <v>348</v>
      </c>
    </row>
    <row r="10" spans="1:12">
      <c r="A10" s="193" t="s">
        <v>364</v>
      </c>
      <c r="B10" s="194">
        <v>60</v>
      </c>
      <c r="C10" s="194">
        <v>250</v>
      </c>
      <c r="D10" s="195" t="s">
        <v>346</v>
      </c>
      <c r="E10" s="195" t="s">
        <v>346</v>
      </c>
      <c r="F10" s="195" t="s">
        <v>346</v>
      </c>
      <c r="G10" s="189"/>
      <c r="H10" s="197">
        <f t="shared" si="0"/>
        <v>9.7087378640776701E-8</v>
      </c>
      <c r="I10" s="198">
        <v>10300000</v>
      </c>
      <c r="J10" s="199">
        <f t="shared" si="1"/>
        <v>0.17697594501718211</v>
      </c>
      <c r="K10" s="181" t="s">
        <v>353</v>
      </c>
    </row>
    <row r="11" spans="1:12">
      <c r="A11" s="193" t="s">
        <v>365</v>
      </c>
      <c r="B11" s="194" t="s">
        <v>366</v>
      </c>
      <c r="C11" s="195" t="s">
        <v>346</v>
      </c>
      <c r="D11" s="195" t="s">
        <v>346</v>
      </c>
      <c r="E11" s="195" t="s">
        <v>346</v>
      </c>
      <c r="F11" s="195" t="s">
        <v>346</v>
      </c>
      <c r="G11" s="189"/>
      <c r="H11" s="197">
        <f t="shared" si="0"/>
        <v>1.7182130584192439E-8</v>
      </c>
      <c r="I11" s="198">
        <v>58200000</v>
      </c>
      <c r="J11" s="200">
        <f t="shared" si="1"/>
        <v>1</v>
      </c>
      <c r="K11" t="s">
        <v>347</v>
      </c>
      <c r="L11" t="s">
        <v>348</v>
      </c>
    </row>
    <row r="12" spans="1:12">
      <c r="A12" s="193" t="s">
        <v>367</v>
      </c>
      <c r="B12" s="194" t="s">
        <v>368</v>
      </c>
      <c r="C12" s="195" t="s">
        <v>346</v>
      </c>
      <c r="D12" s="195" t="s">
        <v>346</v>
      </c>
      <c r="E12" s="195" t="s">
        <v>346</v>
      </c>
      <c r="F12" s="201">
        <v>0.4</v>
      </c>
      <c r="H12" s="197" t="s">
        <v>369</v>
      </c>
      <c r="I12" s="198" t="s">
        <v>370</v>
      </c>
      <c r="J12" s="195" t="s">
        <v>346</v>
      </c>
      <c r="K12" t="s">
        <v>348</v>
      </c>
    </row>
    <row r="13" spans="1:12">
      <c r="A13" s="193" t="s">
        <v>371</v>
      </c>
      <c r="B13" s="194" t="s">
        <v>372</v>
      </c>
      <c r="C13" s="195" t="s">
        <v>346</v>
      </c>
      <c r="D13" s="195" t="s">
        <v>346</v>
      </c>
      <c r="E13" s="195" t="s">
        <v>346</v>
      </c>
      <c r="F13" s="201">
        <v>0.3</v>
      </c>
      <c r="H13" s="197" t="s">
        <v>373</v>
      </c>
      <c r="I13" s="202" t="s">
        <v>374</v>
      </c>
      <c r="J13" s="195" t="s">
        <v>346</v>
      </c>
      <c r="K13" t="s">
        <v>348</v>
      </c>
    </row>
    <row r="14" spans="1:12">
      <c r="A14" s="193" t="s">
        <v>375</v>
      </c>
      <c r="B14" s="194" t="s">
        <v>376</v>
      </c>
      <c r="C14" s="195" t="s">
        <v>346</v>
      </c>
      <c r="D14" s="195" t="s">
        <v>346</v>
      </c>
      <c r="E14" s="195" t="s">
        <v>346</v>
      </c>
      <c r="F14" s="195" t="s">
        <v>346</v>
      </c>
      <c r="G14" s="189"/>
      <c r="H14" s="197">
        <f t="shared" si="0"/>
        <v>2.127659574468085E-8</v>
      </c>
      <c r="I14" s="198">
        <v>47000000</v>
      </c>
      <c r="J14" s="199">
        <f t="shared" ref="J14:J30" si="2">1/$I$11*I14</f>
        <v>0.80756013745704469</v>
      </c>
      <c r="K14" s="203" t="s">
        <v>377</v>
      </c>
      <c r="L14" t="s">
        <v>348</v>
      </c>
    </row>
    <row r="15" spans="1:12">
      <c r="A15" s="193" t="s">
        <v>378</v>
      </c>
      <c r="B15" s="194">
        <v>4000</v>
      </c>
      <c r="C15" s="195">
        <v>70000</v>
      </c>
      <c r="D15" s="195">
        <v>4</v>
      </c>
      <c r="E15" s="195" t="s">
        <v>346</v>
      </c>
      <c r="F15" s="204">
        <v>1.6</v>
      </c>
      <c r="G15" s="189"/>
      <c r="H15" s="197"/>
      <c r="I15" s="198"/>
      <c r="J15" s="199"/>
      <c r="K15" t="s">
        <v>379</v>
      </c>
    </row>
    <row r="16" spans="1:12">
      <c r="A16" s="193" t="s">
        <v>380</v>
      </c>
      <c r="B16" s="194">
        <v>150</v>
      </c>
      <c r="C16" s="194">
        <v>5000</v>
      </c>
      <c r="D16" s="201">
        <v>80</v>
      </c>
      <c r="E16" s="201">
        <v>0.77</v>
      </c>
      <c r="F16" s="201">
        <v>2.14</v>
      </c>
      <c r="H16" s="197">
        <f t="shared" si="0"/>
        <v>9.9999999999999995E-8</v>
      </c>
      <c r="I16" s="198">
        <v>10000000</v>
      </c>
      <c r="J16" s="199">
        <f t="shared" si="2"/>
        <v>0.1718213058419244</v>
      </c>
      <c r="K16" t="s">
        <v>348</v>
      </c>
    </row>
    <row r="17" spans="1:12">
      <c r="A17" s="193" t="s">
        <v>381</v>
      </c>
      <c r="B17" s="194">
        <v>270</v>
      </c>
      <c r="C17" s="194">
        <v>8000</v>
      </c>
      <c r="D17" s="201">
        <v>60</v>
      </c>
      <c r="E17" s="195" t="s">
        <v>346</v>
      </c>
      <c r="F17" s="201">
        <v>2.0099999999999998</v>
      </c>
      <c r="H17" s="197">
        <f t="shared" si="0"/>
        <v>4.6948356807511739E-7</v>
      </c>
      <c r="I17" s="198">
        <v>2130000</v>
      </c>
      <c r="J17" s="199">
        <f t="shared" si="2"/>
        <v>3.6597938144329899E-2</v>
      </c>
      <c r="K17" t="s">
        <v>348</v>
      </c>
    </row>
    <row r="18" spans="1:12">
      <c r="A18" s="193" t="s">
        <v>382</v>
      </c>
      <c r="B18" s="194">
        <v>1400</v>
      </c>
      <c r="C18" s="194">
        <v>50000</v>
      </c>
      <c r="D18" s="201">
        <v>7</v>
      </c>
      <c r="E18" s="201">
        <v>1.2</v>
      </c>
      <c r="F18" s="201">
        <v>2.0099999999999998</v>
      </c>
      <c r="H18" s="197">
        <f t="shared" si="0"/>
        <v>4.9999999999999998E-7</v>
      </c>
      <c r="I18" s="198">
        <v>2000000</v>
      </c>
      <c r="J18" s="199">
        <f t="shared" si="2"/>
        <v>3.4364261168384876E-2</v>
      </c>
      <c r="K18" t="s">
        <v>348</v>
      </c>
    </row>
    <row r="19" spans="1:12">
      <c r="A19" s="193" t="s">
        <v>383</v>
      </c>
      <c r="B19" s="194" t="s">
        <v>384</v>
      </c>
      <c r="C19" s="195" t="s">
        <v>346</v>
      </c>
      <c r="D19" s="195" t="s">
        <v>346</v>
      </c>
      <c r="E19" s="195" t="s">
        <v>346</v>
      </c>
      <c r="F19" s="195" t="s">
        <v>346</v>
      </c>
      <c r="H19" s="197">
        <f t="shared" si="0"/>
        <v>2.1881838074398249E-7</v>
      </c>
      <c r="I19" s="198">
        <v>4570000</v>
      </c>
      <c r="J19" s="199">
        <f t="shared" si="2"/>
        <v>7.8522336769759449E-2</v>
      </c>
      <c r="K19" t="s">
        <v>377</v>
      </c>
      <c r="L19" t="s">
        <v>348</v>
      </c>
    </row>
    <row r="20" spans="1:12">
      <c r="A20" s="193" t="s">
        <v>385</v>
      </c>
      <c r="B20" s="194" t="s">
        <v>386</v>
      </c>
      <c r="C20" s="195" t="s">
        <v>346</v>
      </c>
      <c r="D20" s="195" t="s">
        <v>346</v>
      </c>
      <c r="E20" s="195" t="s">
        <v>346</v>
      </c>
      <c r="F20" s="195" t="s">
        <v>346</v>
      </c>
      <c r="G20" s="189"/>
      <c r="H20" s="197">
        <f t="shared" si="0"/>
        <v>4.4642857142857145E-8</v>
      </c>
      <c r="I20" s="198">
        <v>22400000</v>
      </c>
      <c r="J20" s="199">
        <f t="shared" si="2"/>
        <v>0.38487972508591062</v>
      </c>
      <c r="K20" t="s">
        <v>347</v>
      </c>
    </row>
    <row r="21" spans="1:12">
      <c r="A21" s="193" t="s">
        <v>387</v>
      </c>
      <c r="B21" s="195" t="s">
        <v>346</v>
      </c>
      <c r="C21" s="194">
        <v>210000</v>
      </c>
      <c r="D21" s="201">
        <v>14</v>
      </c>
      <c r="E21" s="201">
        <v>1.46</v>
      </c>
      <c r="F21" s="201">
        <v>1.6</v>
      </c>
      <c r="H21" s="197">
        <f t="shared" si="0"/>
        <v>1.2500000000000001E-6</v>
      </c>
      <c r="I21" s="198">
        <v>800000</v>
      </c>
      <c r="J21" s="198">
        <f t="shared" si="2"/>
        <v>1.3745704467353952E-2</v>
      </c>
      <c r="K21" t="s">
        <v>348</v>
      </c>
    </row>
    <row r="22" spans="1:12">
      <c r="A22" s="193" t="s">
        <v>388</v>
      </c>
      <c r="B22" s="195" t="s">
        <v>346</v>
      </c>
      <c r="C22" s="194">
        <v>30000</v>
      </c>
      <c r="D22" s="201">
        <v>8</v>
      </c>
      <c r="E22" s="201">
        <v>0.3</v>
      </c>
      <c r="F22" s="201">
        <v>1.58</v>
      </c>
      <c r="H22" s="197">
        <f t="shared" si="0"/>
        <v>1.2500000000000001E-6</v>
      </c>
      <c r="I22" s="198">
        <v>800000</v>
      </c>
      <c r="J22" s="198">
        <f t="shared" si="2"/>
        <v>1.3745704467353952E-2</v>
      </c>
      <c r="K22" t="s">
        <v>348</v>
      </c>
    </row>
    <row r="23" spans="1:12">
      <c r="A23" s="193" t="s">
        <v>389</v>
      </c>
      <c r="B23" s="194">
        <v>100</v>
      </c>
      <c r="C23" s="194">
        <v>2000</v>
      </c>
      <c r="D23" s="201">
        <v>200</v>
      </c>
      <c r="E23" s="195" t="s">
        <v>346</v>
      </c>
      <c r="F23" s="195" t="s">
        <v>346</v>
      </c>
      <c r="G23" s="189"/>
      <c r="H23" s="197">
        <f t="shared" si="0"/>
        <v>1.4925373134328358E-7</v>
      </c>
      <c r="I23" s="198">
        <v>6700000</v>
      </c>
      <c r="J23" s="199">
        <f t="shared" si="2"/>
        <v>0.11512027491408934</v>
      </c>
      <c r="K23" t="s">
        <v>347</v>
      </c>
      <c r="L23" t="s">
        <v>379</v>
      </c>
    </row>
    <row r="24" spans="1:12">
      <c r="A24" s="193" t="s">
        <v>390</v>
      </c>
      <c r="B24" s="194">
        <v>20000</v>
      </c>
      <c r="C24" s="194">
        <v>350000</v>
      </c>
      <c r="D24" s="201">
        <v>4</v>
      </c>
      <c r="E24" s="195" t="s">
        <v>346</v>
      </c>
      <c r="F24" s="201">
        <v>0.75</v>
      </c>
      <c r="H24" s="197">
        <f>1/I24</f>
        <v>4.6948356807511739E-7</v>
      </c>
      <c r="I24" s="198">
        <v>2130000</v>
      </c>
      <c r="J24" s="199">
        <f t="shared" si="2"/>
        <v>3.6597938144329899E-2</v>
      </c>
      <c r="K24" t="s">
        <v>379</v>
      </c>
      <c r="L24" s="205" t="s">
        <v>391</v>
      </c>
    </row>
    <row r="25" spans="1:12">
      <c r="A25" s="193" t="s">
        <v>392</v>
      </c>
      <c r="B25" s="194">
        <v>50</v>
      </c>
      <c r="C25" s="194">
        <v>1000</v>
      </c>
      <c r="D25" s="195" t="s">
        <v>346</v>
      </c>
      <c r="E25" s="195" t="s">
        <v>346</v>
      </c>
      <c r="F25" s="195" t="s">
        <v>346</v>
      </c>
      <c r="G25" s="189"/>
      <c r="H25" s="197">
        <f>1/I25</f>
        <v>6.8965517241379315E-8</v>
      </c>
      <c r="I25" s="198">
        <v>14500000</v>
      </c>
      <c r="J25" s="199">
        <f t="shared" si="2"/>
        <v>0.24914089347079038</v>
      </c>
      <c r="K25" s="181" t="s">
        <v>353</v>
      </c>
      <c r="L25" t="s">
        <v>348</v>
      </c>
    </row>
    <row r="26" spans="1:12">
      <c r="A26" s="193" t="s">
        <v>393</v>
      </c>
      <c r="B26" s="194">
        <v>11000</v>
      </c>
      <c r="C26" s="194">
        <v>80000</v>
      </c>
      <c r="D26" s="201">
        <v>2</v>
      </c>
      <c r="E26" s="195" t="s">
        <v>346</v>
      </c>
      <c r="F26" s="201">
        <v>1.55</v>
      </c>
      <c r="H26" s="197">
        <f>1/I26</f>
        <v>4.8076923076923074E-7</v>
      </c>
      <c r="I26" s="198">
        <v>2080000</v>
      </c>
      <c r="J26" s="199">
        <f t="shared" si="2"/>
        <v>3.5738831615120273E-2</v>
      </c>
      <c r="K26" t="s">
        <v>348</v>
      </c>
    </row>
    <row r="27" spans="1:12">
      <c r="A27" s="193" t="s">
        <v>394</v>
      </c>
      <c r="B27" s="194">
        <v>40000</v>
      </c>
      <c r="C27" s="194">
        <v>200000</v>
      </c>
      <c r="D27" s="201">
        <v>1</v>
      </c>
      <c r="E27" s="195" t="s">
        <v>346</v>
      </c>
      <c r="F27" s="201">
        <v>0.8</v>
      </c>
      <c r="H27" s="197">
        <f>1/I27</f>
        <v>5.8139534883720929E-7</v>
      </c>
      <c r="I27" s="198">
        <v>1720000</v>
      </c>
      <c r="J27" s="199">
        <f t="shared" si="2"/>
        <v>2.9553264604810996E-2</v>
      </c>
      <c r="K27" t="s">
        <v>348</v>
      </c>
    </row>
    <row r="28" spans="1:12">
      <c r="A28" s="193" t="s">
        <v>395</v>
      </c>
      <c r="B28" s="194">
        <v>500</v>
      </c>
      <c r="C28" s="194">
        <v>6000</v>
      </c>
      <c r="D28" s="201">
        <v>160</v>
      </c>
      <c r="E28" s="195" t="s">
        <v>346</v>
      </c>
      <c r="F28" s="201">
        <v>2.46</v>
      </c>
      <c r="H28" s="197"/>
      <c r="I28" s="198"/>
      <c r="J28" s="199"/>
      <c r="K28" t="s">
        <v>379</v>
      </c>
    </row>
    <row r="29" spans="1:12">
      <c r="A29" s="193" t="s">
        <v>396</v>
      </c>
      <c r="B29" s="194">
        <v>800</v>
      </c>
      <c r="C29" s="194">
        <v>8000</v>
      </c>
      <c r="D29" s="201">
        <v>160</v>
      </c>
      <c r="E29" s="195" t="s">
        <v>346</v>
      </c>
      <c r="F29" s="201">
        <v>2.2999999999999998</v>
      </c>
      <c r="H29" s="197">
        <f>1/I29</f>
        <v>3.9999999999999998E-7</v>
      </c>
      <c r="I29" s="198">
        <v>2500000</v>
      </c>
      <c r="J29" s="199">
        <f t="shared" si="2"/>
        <v>4.29553264604811E-2</v>
      </c>
      <c r="K29" t="s">
        <v>348</v>
      </c>
    </row>
    <row r="30" spans="1:12">
      <c r="A30" s="193" t="s">
        <v>397</v>
      </c>
      <c r="B30" s="194" t="s">
        <v>398</v>
      </c>
      <c r="C30" s="195" t="s">
        <v>346</v>
      </c>
      <c r="D30" s="195" t="s">
        <v>346</v>
      </c>
      <c r="E30" s="195" t="s">
        <v>346</v>
      </c>
      <c r="F30" s="195" t="s">
        <v>346</v>
      </c>
      <c r="G30" s="189"/>
      <c r="H30" s="197">
        <f>1/I30</f>
        <v>1.0638297872340426E-7</v>
      </c>
      <c r="I30" s="198">
        <v>9400000</v>
      </c>
      <c r="J30" s="199">
        <f t="shared" si="2"/>
        <v>0.16151202749140894</v>
      </c>
      <c r="K30" t="s">
        <v>347</v>
      </c>
    </row>
    <row r="31" spans="1:12">
      <c r="A31" s="193" t="s">
        <v>399</v>
      </c>
      <c r="B31" s="194">
        <v>36000</v>
      </c>
      <c r="C31" s="194">
        <v>120000</v>
      </c>
      <c r="D31" s="201">
        <v>1.6</v>
      </c>
      <c r="E31" s="195" t="s">
        <v>346</v>
      </c>
      <c r="F31" s="201">
        <v>0.89</v>
      </c>
      <c r="H31" s="196" t="s">
        <v>346</v>
      </c>
      <c r="I31" s="195" t="s">
        <v>346</v>
      </c>
      <c r="J31" s="195" t="s">
        <v>346</v>
      </c>
      <c r="K31" t="s">
        <v>379</v>
      </c>
    </row>
    <row r="32" spans="1:12">
      <c r="A32" s="193" t="s">
        <v>400</v>
      </c>
      <c r="B32" s="194" t="s">
        <v>376</v>
      </c>
      <c r="C32" s="195" t="s">
        <v>346</v>
      </c>
      <c r="D32" s="195" t="s">
        <v>346</v>
      </c>
      <c r="E32" s="195" t="s">
        <v>346</v>
      </c>
      <c r="F32" s="195" t="s">
        <v>346</v>
      </c>
      <c r="G32" s="189"/>
      <c r="H32" s="197">
        <f t="shared" ref="H32:H46" si="3">1/I32</f>
        <v>1.6207455429497569E-8</v>
      </c>
      <c r="I32" s="198">
        <v>61700000</v>
      </c>
      <c r="J32" s="199">
        <f t="shared" ref="J32:J41" si="4">1/$I$11*I32</f>
        <v>1.0601374570446735</v>
      </c>
      <c r="K32" t="s">
        <v>401</v>
      </c>
    </row>
    <row r="33" spans="1:13">
      <c r="A33" s="193" t="s">
        <v>402</v>
      </c>
      <c r="B33" s="206" t="s">
        <v>403</v>
      </c>
      <c r="C33" s="195" t="s">
        <v>346</v>
      </c>
      <c r="D33" s="195" t="s">
        <v>346</v>
      </c>
      <c r="E33" s="195" t="s">
        <v>346</v>
      </c>
      <c r="F33" s="195" t="s">
        <v>346</v>
      </c>
      <c r="G33" s="189"/>
      <c r="H33" s="197">
        <f t="shared" si="3"/>
        <v>7.092198581560284E-7</v>
      </c>
      <c r="I33" s="198">
        <v>1410000</v>
      </c>
      <c r="J33" s="199">
        <f t="shared" si="4"/>
        <v>2.4226804123711341E-2</v>
      </c>
      <c r="K33" s="203" t="s">
        <v>404</v>
      </c>
      <c r="L33" t="s">
        <v>405</v>
      </c>
      <c r="M33" t="s">
        <v>406</v>
      </c>
    </row>
    <row r="34" spans="1:13">
      <c r="A34" s="193" t="s">
        <v>407</v>
      </c>
      <c r="B34" s="206" t="s">
        <v>408</v>
      </c>
      <c r="C34" s="195" t="s">
        <v>346</v>
      </c>
      <c r="D34" s="195" t="s">
        <v>346</v>
      </c>
      <c r="E34" s="195" t="s">
        <v>346</v>
      </c>
      <c r="F34" s="195" t="s">
        <v>346</v>
      </c>
      <c r="G34" s="189"/>
      <c r="H34" s="197">
        <f t="shared" si="3"/>
        <v>7.092198581560284E-7</v>
      </c>
      <c r="I34" s="198">
        <v>1410000</v>
      </c>
      <c r="J34" s="199">
        <f t="shared" si="4"/>
        <v>2.4226804123711341E-2</v>
      </c>
      <c r="K34" t="s">
        <v>404</v>
      </c>
      <c r="L34" t="s">
        <v>405</v>
      </c>
      <c r="M34" t="s">
        <v>406</v>
      </c>
    </row>
    <row r="35" spans="1:13">
      <c r="A35" s="193" t="s">
        <v>409</v>
      </c>
      <c r="B35" s="195" t="s">
        <v>346</v>
      </c>
      <c r="C35" s="194">
        <v>750</v>
      </c>
      <c r="D35" s="195">
        <v>480</v>
      </c>
      <c r="E35" s="195" t="s">
        <v>346</v>
      </c>
      <c r="F35" s="195" t="s">
        <v>346</v>
      </c>
      <c r="G35" s="189"/>
      <c r="H35" s="197">
        <f t="shared" si="3"/>
        <v>5.917159763313609E-7</v>
      </c>
      <c r="I35" s="198">
        <v>1690000</v>
      </c>
      <c r="J35" s="199">
        <f t="shared" si="4"/>
        <v>2.9037800687285224E-2</v>
      </c>
      <c r="K35" t="s">
        <v>404</v>
      </c>
    </row>
    <row r="36" spans="1:13">
      <c r="A36" s="193" t="s">
        <v>410</v>
      </c>
      <c r="B36" s="195" t="s">
        <v>346</v>
      </c>
      <c r="C36" s="194">
        <v>1800</v>
      </c>
      <c r="D36" s="195">
        <v>160</v>
      </c>
      <c r="E36" s="195" t="s">
        <v>346</v>
      </c>
      <c r="F36" s="195" t="s">
        <v>346</v>
      </c>
      <c r="G36" s="189"/>
      <c r="H36" s="197">
        <f t="shared" si="3"/>
        <v>5.917159763313609E-7</v>
      </c>
      <c r="I36" s="198">
        <v>1690000</v>
      </c>
      <c r="J36" s="199">
        <f t="shared" si="4"/>
        <v>2.9037800687285224E-2</v>
      </c>
      <c r="K36" t="s">
        <v>404</v>
      </c>
      <c r="L36" t="s">
        <v>405</v>
      </c>
      <c r="M36" t="s">
        <v>406</v>
      </c>
    </row>
    <row r="37" spans="1:13">
      <c r="A37" s="193" t="s">
        <v>411</v>
      </c>
      <c r="B37" s="195" t="s">
        <v>346</v>
      </c>
      <c r="C37" s="194">
        <v>1000</v>
      </c>
      <c r="D37" s="195" t="s">
        <v>346</v>
      </c>
      <c r="E37" s="195" t="s">
        <v>346</v>
      </c>
      <c r="F37" s="195" t="s">
        <v>346</v>
      </c>
      <c r="G37" s="189"/>
      <c r="H37" s="197">
        <f t="shared" si="3"/>
        <v>1.620745542949757E-7</v>
      </c>
      <c r="I37" s="198">
        <v>6170000</v>
      </c>
      <c r="J37" s="199">
        <f t="shared" si="4"/>
        <v>0.10601374570446735</v>
      </c>
      <c r="K37" t="s">
        <v>412</v>
      </c>
      <c r="L37" t="s">
        <v>405</v>
      </c>
      <c r="M37" s="203" t="s">
        <v>406</v>
      </c>
    </row>
    <row r="38" spans="1:13">
      <c r="A38" s="193" t="s">
        <v>413</v>
      </c>
      <c r="B38" s="202">
        <v>200</v>
      </c>
      <c r="C38" s="194">
        <v>4000</v>
      </c>
      <c r="D38" s="201">
        <v>100</v>
      </c>
      <c r="E38" s="195" t="s">
        <v>346</v>
      </c>
      <c r="F38" s="201">
        <v>2.14</v>
      </c>
      <c r="H38" s="197">
        <f>1/I38</f>
        <v>1.2004801920768306E-7</v>
      </c>
      <c r="I38" s="198">
        <v>8330000</v>
      </c>
      <c r="J38" s="199">
        <f t="shared" si="4"/>
        <v>0.14312714776632302</v>
      </c>
      <c r="K38" t="s">
        <v>348</v>
      </c>
    </row>
    <row r="39" spans="1:13">
      <c r="A39" s="193" t="s">
        <v>414</v>
      </c>
      <c r="B39" s="194">
        <v>80000</v>
      </c>
      <c r="C39" s="194">
        <v>450000</v>
      </c>
      <c r="D39" s="201">
        <v>0.4</v>
      </c>
      <c r="E39" s="195" t="s">
        <v>346</v>
      </c>
      <c r="F39" s="201">
        <v>0.78</v>
      </c>
      <c r="H39" s="197">
        <f t="shared" si="3"/>
        <v>6.493506493506493E-7</v>
      </c>
      <c r="I39" s="198">
        <v>1540000</v>
      </c>
      <c r="J39" s="199">
        <f t="shared" si="4"/>
        <v>2.6460481099656357E-2</v>
      </c>
      <c r="K39" t="s">
        <v>348</v>
      </c>
    </row>
    <row r="40" spans="1:13">
      <c r="A40" s="193" t="s">
        <v>415</v>
      </c>
      <c r="B40" s="195" t="s">
        <v>346</v>
      </c>
      <c r="C40" s="194">
        <v>100000</v>
      </c>
      <c r="D40" s="201">
        <v>16</v>
      </c>
      <c r="E40" s="201">
        <v>2</v>
      </c>
      <c r="F40" s="201">
        <v>2.2999999999999998</v>
      </c>
      <c r="H40" s="197">
        <f t="shared" si="3"/>
        <v>2.5974025974025974E-7</v>
      </c>
      <c r="I40" s="198">
        <v>3850000</v>
      </c>
      <c r="J40" s="199">
        <f t="shared" si="4"/>
        <v>6.6151202749140894E-2</v>
      </c>
      <c r="K40" t="s">
        <v>348</v>
      </c>
    </row>
    <row r="41" spans="1:13">
      <c r="A41" s="193" t="s">
        <v>416</v>
      </c>
      <c r="B41" s="194" t="s">
        <v>417</v>
      </c>
      <c r="C41" s="195" t="s">
        <v>346</v>
      </c>
      <c r="D41" s="195" t="s">
        <v>346</v>
      </c>
      <c r="E41" s="195" t="s">
        <v>346</v>
      </c>
      <c r="F41" s="195" t="s">
        <v>346</v>
      </c>
      <c r="G41" s="189"/>
      <c r="H41" s="197">
        <f t="shared" si="3"/>
        <v>4.784688995215311E-7</v>
      </c>
      <c r="I41" s="198">
        <v>2090000</v>
      </c>
      <c r="J41" s="199">
        <f t="shared" si="4"/>
        <v>3.5910652920962197E-2</v>
      </c>
      <c r="K41" t="s">
        <v>347</v>
      </c>
      <c r="L41" t="s">
        <v>348</v>
      </c>
    </row>
    <row r="42" spans="1:13">
      <c r="A42" s="193" t="s">
        <v>418</v>
      </c>
      <c r="B42" s="194" t="s">
        <v>360</v>
      </c>
      <c r="C42" s="195" t="s">
        <v>346</v>
      </c>
      <c r="D42" s="195" t="s">
        <v>346</v>
      </c>
      <c r="E42" s="195" t="s">
        <v>346</v>
      </c>
      <c r="F42" s="195" t="s">
        <v>346</v>
      </c>
      <c r="G42" s="189"/>
      <c r="H42" s="197">
        <f t="shared" si="3"/>
        <v>1.1402508551881413E-7</v>
      </c>
      <c r="I42" s="198">
        <v>8770000</v>
      </c>
      <c r="J42" s="199">
        <f>1/$I$11*I42</f>
        <v>0.15068728522336769</v>
      </c>
      <c r="K42" t="s">
        <v>348</v>
      </c>
    </row>
    <row r="43" spans="1:13">
      <c r="A43" s="193" t="s">
        <v>419</v>
      </c>
      <c r="B43" s="194" t="s">
        <v>360</v>
      </c>
      <c r="C43" s="195" t="s">
        <v>346</v>
      </c>
      <c r="D43" s="195" t="s">
        <v>346</v>
      </c>
      <c r="E43" s="195" t="s">
        <v>346</v>
      </c>
      <c r="F43" s="195" t="s">
        <v>346</v>
      </c>
      <c r="G43" s="189"/>
      <c r="H43" s="197">
        <f t="shared" si="3"/>
        <v>5.4945054945054946E-8</v>
      </c>
      <c r="I43" s="198">
        <v>18200000</v>
      </c>
      <c r="J43" s="199">
        <f>1/$I$11*I43</f>
        <v>0.3127147766323024</v>
      </c>
      <c r="K43" t="s">
        <v>348</v>
      </c>
    </row>
    <row r="44" spans="1:13">
      <c r="A44" s="193" t="s">
        <v>420</v>
      </c>
      <c r="B44" s="194" t="s">
        <v>421</v>
      </c>
      <c r="C44" s="195" t="s">
        <v>346</v>
      </c>
      <c r="D44" s="195" t="s">
        <v>346</v>
      </c>
      <c r="E44" s="195" t="s">
        <v>346</v>
      </c>
      <c r="F44" s="195" t="s">
        <v>346</v>
      </c>
      <c r="G44" s="189"/>
      <c r="H44" s="197">
        <f t="shared" si="3"/>
        <v>10000</v>
      </c>
      <c r="I44" s="207">
        <v>1E-4</v>
      </c>
      <c r="J44" s="198">
        <f>1/$I$11*I44</f>
        <v>1.718213058419244E-12</v>
      </c>
      <c r="K44" t="s">
        <v>347</v>
      </c>
    </row>
    <row r="45" spans="1:13">
      <c r="A45" s="193" t="s">
        <v>422</v>
      </c>
      <c r="B45" s="194" t="s">
        <v>423</v>
      </c>
      <c r="C45" s="195" t="s">
        <v>346</v>
      </c>
      <c r="D45" s="195" t="s">
        <v>346</v>
      </c>
      <c r="E45" s="195" t="s">
        <v>346</v>
      </c>
      <c r="F45" s="195" t="s">
        <v>346</v>
      </c>
      <c r="G45" s="189"/>
      <c r="H45" s="197" t="s">
        <v>424</v>
      </c>
      <c r="I45" s="198" t="s">
        <v>425</v>
      </c>
      <c r="J45" s="195" t="s">
        <v>346</v>
      </c>
      <c r="K45" t="s">
        <v>401</v>
      </c>
      <c r="L45" t="s">
        <v>347</v>
      </c>
    </row>
    <row r="46" spans="1:13">
      <c r="A46" t="s">
        <v>426</v>
      </c>
      <c r="B46" s="187" t="s">
        <v>427</v>
      </c>
      <c r="C46" s="188" t="s">
        <v>346</v>
      </c>
      <c r="D46" s="188" t="s">
        <v>346</v>
      </c>
      <c r="E46" s="188" t="s">
        <v>346</v>
      </c>
      <c r="F46" s="188" t="s">
        <v>346</v>
      </c>
      <c r="G46" s="189"/>
      <c r="H46" s="190">
        <f t="shared" si="3"/>
        <v>6.0975609756097555E-8</v>
      </c>
      <c r="I46" s="191">
        <v>16400000</v>
      </c>
      <c r="J46" s="192">
        <f>1/$I$11*I46</f>
        <v>0.28178694158075601</v>
      </c>
      <c r="K46" t="s">
        <v>347</v>
      </c>
    </row>
    <row r="48" spans="1:13">
      <c r="A48" s="288" t="s">
        <v>37</v>
      </c>
      <c r="B48" s="288"/>
      <c r="C48" s="288"/>
      <c r="D48" s="288"/>
      <c r="E48" s="288"/>
      <c r="F48" s="288"/>
      <c r="G48" s="288"/>
      <c r="H48" s="288"/>
      <c r="I48" s="288"/>
      <c r="J48" s="288"/>
      <c r="K48" s="288"/>
      <c r="L48" s="288"/>
      <c r="M48" s="288"/>
    </row>
    <row r="49" spans="1:13">
      <c r="A49" s="179"/>
      <c r="B49" s="179"/>
      <c r="C49" s="179"/>
      <c r="D49" s="179"/>
      <c r="E49" s="179"/>
      <c r="F49" s="179"/>
      <c r="G49" s="179"/>
      <c r="H49" s="179"/>
      <c r="I49" s="179"/>
      <c r="J49" s="216"/>
      <c r="K49" s="216"/>
      <c r="L49" s="216"/>
      <c r="M49" s="216"/>
    </row>
    <row r="50" spans="1:13" ht="15.75" customHeight="1">
      <c r="A50" s="179"/>
      <c r="B50" s="179"/>
      <c r="C50" s="179"/>
      <c r="D50" s="179"/>
      <c r="E50" s="179"/>
      <c r="F50" s="179"/>
      <c r="G50" s="179"/>
      <c r="H50" s="179"/>
      <c r="I50" s="179"/>
      <c r="J50" s="216"/>
      <c r="K50" s="216"/>
      <c r="L50" s="216"/>
      <c r="M50" s="216"/>
    </row>
    <row r="51" spans="1:13">
      <c r="A51" s="179"/>
      <c r="B51" s="179"/>
      <c r="C51" s="179"/>
      <c r="D51" s="179"/>
      <c r="E51" s="179"/>
      <c r="F51" s="179"/>
      <c r="G51" s="179"/>
      <c r="H51" s="179"/>
      <c r="I51" s="179"/>
    </row>
  </sheetData>
  <sheetProtection sheet="1" objects="1" scenarios="1"/>
  <mergeCells count="1">
    <mergeCell ref="A48:M48"/>
  </mergeCells>
  <hyperlinks>
    <hyperlink ref="K33" r:id="rId1" xr:uid="{4F484E3B-D74B-4DA9-B138-9585AC90DA2C}"/>
    <hyperlink ref="K14" r:id="rId2" xr:uid="{943DA902-67C4-4EC9-A29D-DD1090C06F8A}"/>
    <hyperlink ref="M37" r:id="rId3" xr:uid="{98DAA99D-ADAE-416F-92D9-CAFD16082E9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CCA03-AF10-401A-B416-E056C4ACBE4B}">
  <dimension ref="A1:M113"/>
  <sheetViews>
    <sheetView workbookViewId="0">
      <selection activeCell="Q35" sqref="Q35:Q36"/>
    </sheetView>
  </sheetViews>
  <sheetFormatPr defaultColWidth="12.5703125" defaultRowHeight="12"/>
  <cols>
    <col min="1" max="1" width="32" style="215" customWidth="1"/>
    <col min="2" max="13" width="7.140625" style="216" customWidth="1"/>
    <col min="14" max="16384" width="12.5703125" style="208"/>
  </cols>
  <sheetData>
    <row r="1" spans="1:13" ht="22.5" customHeight="1">
      <c r="A1" s="300" t="s">
        <v>269</v>
      </c>
      <c r="B1" s="302" t="s">
        <v>270</v>
      </c>
      <c r="C1" s="303"/>
      <c r="D1" s="303"/>
      <c r="E1" s="303"/>
      <c r="F1" s="303"/>
      <c r="G1" s="317"/>
      <c r="H1" s="302" t="s">
        <v>428</v>
      </c>
      <c r="I1" s="303"/>
      <c r="J1" s="303"/>
      <c r="K1" s="303"/>
      <c r="L1" s="303"/>
      <c r="M1" s="303"/>
    </row>
    <row r="2" spans="1:13" ht="10.5" customHeight="1">
      <c r="A2" s="301"/>
      <c r="B2" s="167" t="s">
        <v>271</v>
      </c>
      <c r="C2" s="167" t="s">
        <v>272</v>
      </c>
      <c r="D2" s="167" t="s">
        <v>273</v>
      </c>
      <c r="E2" s="167" t="s">
        <v>274</v>
      </c>
      <c r="F2" s="167" t="s">
        <v>275</v>
      </c>
      <c r="G2" s="167" t="s">
        <v>276</v>
      </c>
      <c r="H2" s="167" t="s">
        <v>271</v>
      </c>
      <c r="I2" s="167" t="s">
        <v>272</v>
      </c>
      <c r="J2" s="167" t="s">
        <v>273</v>
      </c>
      <c r="K2" s="167" t="s">
        <v>274</v>
      </c>
      <c r="L2" s="167" t="s">
        <v>275</v>
      </c>
      <c r="M2" s="167" t="s">
        <v>276</v>
      </c>
    </row>
    <row r="3" spans="1:13" ht="11.25" customHeight="1">
      <c r="A3" s="209" t="s">
        <v>429</v>
      </c>
      <c r="B3" s="172"/>
      <c r="C3" s="172"/>
      <c r="D3" s="172"/>
      <c r="E3" s="172"/>
      <c r="F3" s="172"/>
      <c r="G3" s="172"/>
      <c r="H3" s="172"/>
      <c r="I3" s="172"/>
      <c r="J3" s="172"/>
      <c r="K3" s="172"/>
      <c r="L3" s="172"/>
      <c r="M3" s="172"/>
    </row>
    <row r="4" spans="1:13" ht="11.25" customHeight="1">
      <c r="A4" s="168" t="s">
        <v>430</v>
      </c>
      <c r="B4" s="169" t="s">
        <v>277</v>
      </c>
      <c r="C4" s="170">
        <v>8.83</v>
      </c>
      <c r="D4" s="170">
        <v>8.8000000000000007</v>
      </c>
      <c r="E4" s="170">
        <v>8.8000000000000007</v>
      </c>
      <c r="F4" s="170">
        <v>8.7899999999999991</v>
      </c>
      <c r="G4" s="169" t="s">
        <v>277</v>
      </c>
      <c r="H4" s="169" t="s">
        <v>277</v>
      </c>
      <c r="I4" s="170">
        <v>5.6999999999999998E-4</v>
      </c>
      <c r="J4" s="170">
        <v>3.3E-4</v>
      </c>
      <c r="K4" s="170">
        <v>2.9999999999999997E-4</v>
      </c>
      <c r="L4" s="170">
        <v>1E-3</v>
      </c>
      <c r="M4" s="169" t="s">
        <v>277</v>
      </c>
    </row>
    <row r="5" spans="1:13" ht="11.25" customHeight="1">
      <c r="A5" s="168" t="s">
        <v>431</v>
      </c>
      <c r="B5" s="170">
        <v>1250</v>
      </c>
      <c r="C5" s="170">
        <v>1200</v>
      </c>
      <c r="D5" s="170">
        <v>1143</v>
      </c>
      <c r="E5" s="169" t="s">
        <v>277</v>
      </c>
      <c r="F5" s="170">
        <v>600</v>
      </c>
      <c r="G5" s="170">
        <v>100</v>
      </c>
      <c r="H5" s="170">
        <v>5.6000000000000001E-2</v>
      </c>
      <c r="I5" s="170">
        <v>1.2999999999999999E-2</v>
      </c>
      <c r="J5" s="170">
        <v>1.0500000000000001E-2</v>
      </c>
      <c r="K5" s="169" t="s">
        <v>277</v>
      </c>
      <c r="L5" s="170">
        <v>0.3</v>
      </c>
      <c r="M5" s="170">
        <v>0.6</v>
      </c>
    </row>
    <row r="6" spans="1:13" ht="11.25" customHeight="1">
      <c r="A6" s="168" t="s">
        <v>432</v>
      </c>
      <c r="B6" s="170">
        <v>168</v>
      </c>
      <c r="C6" s="170">
        <v>167.7</v>
      </c>
      <c r="D6" s="170">
        <v>167.7</v>
      </c>
      <c r="E6" s="170">
        <v>167.7</v>
      </c>
      <c r="F6" s="170">
        <v>165</v>
      </c>
      <c r="G6" s="169" t="s">
        <v>277</v>
      </c>
      <c r="H6" s="170">
        <v>6.0000000000000001E-3</v>
      </c>
      <c r="I6" s="170">
        <v>4.4000000000000002E-4</v>
      </c>
      <c r="J6" s="170">
        <v>2.0000000000000001E-4</v>
      </c>
      <c r="K6" s="169" t="s">
        <v>277</v>
      </c>
      <c r="L6" s="170">
        <v>2.3E-3</v>
      </c>
      <c r="M6" s="169" t="s">
        <v>277</v>
      </c>
    </row>
    <row r="7" spans="1:13" ht="11.25" customHeight="1">
      <c r="A7" s="168" t="s">
        <v>433</v>
      </c>
      <c r="B7" s="169" t="s">
        <v>277</v>
      </c>
      <c r="C7" s="170">
        <v>9.65</v>
      </c>
      <c r="D7" s="170">
        <v>9.65</v>
      </c>
      <c r="E7" s="170">
        <v>9.65</v>
      </c>
      <c r="F7" s="169" t="s">
        <v>277</v>
      </c>
      <c r="G7" s="169" t="s">
        <v>277</v>
      </c>
      <c r="H7" s="169" t="s">
        <v>277</v>
      </c>
      <c r="I7" s="170" t="s">
        <v>434</v>
      </c>
      <c r="J7" s="170" t="s">
        <v>434</v>
      </c>
      <c r="K7" s="170" t="s">
        <v>434</v>
      </c>
      <c r="L7" s="169" t="s">
        <v>277</v>
      </c>
      <c r="M7" s="169" t="s">
        <v>277</v>
      </c>
    </row>
    <row r="8" spans="1:13" ht="11.25" customHeight="1">
      <c r="A8" s="168" t="s">
        <v>435</v>
      </c>
      <c r="B8" s="170">
        <v>6</v>
      </c>
      <c r="C8" s="170">
        <v>5.98</v>
      </c>
      <c r="D8" s="170">
        <v>5.97</v>
      </c>
      <c r="E8" s="170">
        <v>5.96</v>
      </c>
      <c r="F8" s="170">
        <v>5.9</v>
      </c>
      <c r="G8" s="169" t="s">
        <v>277</v>
      </c>
      <c r="H8" s="170">
        <v>1.2E-2</v>
      </c>
      <c r="I8" s="170">
        <v>3.3999999999999998E-3</v>
      </c>
      <c r="J8" s="170">
        <v>5.0000000000000001E-4</v>
      </c>
      <c r="K8" s="170">
        <v>4.0000000000000002E-4</v>
      </c>
      <c r="L8" s="170">
        <v>1.1999999999999999E-3</v>
      </c>
      <c r="M8" s="169" t="s">
        <v>277</v>
      </c>
    </row>
    <row r="9" spans="1:13" ht="11.25" customHeight="1">
      <c r="A9" s="168" t="s">
        <v>436</v>
      </c>
      <c r="B9" s="169" t="s">
        <v>277</v>
      </c>
      <c r="C9" s="170">
        <v>13.9</v>
      </c>
      <c r="D9" s="170">
        <v>13.9</v>
      </c>
      <c r="E9" s="170">
        <v>13.9</v>
      </c>
      <c r="F9" s="170">
        <v>13.8</v>
      </c>
      <c r="G9" s="170">
        <v>13.7</v>
      </c>
      <c r="H9" s="169" t="s">
        <v>277</v>
      </c>
      <c r="I9" s="170">
        <v>1.1000000000000001E-3</v>
      </c>
      <c r="J9" s="170">
        <v>4.0000000000000002E-4</v>
      </c>
      <c r="K9" s="170">
        <v>5.0000000000000001E-4</v>
      </c>
      <c r="L9" s="170">
        <v>1.6999999999999999E-3</v>
      </c>
      <c r="M9" s="170">
        <v>6.4999999999999997E-3</v>
      </c>
    </row>
    <row r="10" spans="1:13" ht="11.25" customHeight="1">
      <c r="A10" s="168" t="s">
        <v>437</v>
      </c>
      <c r="B10" s="169" t="s">
        <v>277</v>
      </c>
      <c r="C10" s="170">
        <v>6.04</v>
      </c>
      <c r="D10" s="170">
        <v>6.04</v>
      </c>
      <c r="E10" s="169" t="s">
        <v>277</v>
      </c>
      <c r="F10" s="170">
        <v>5.9</v>
      </c>
      <c r="G10" s="169" t="s">
        <v>277</v>
      </c>
      <c r="H10" s="169" t="s">
        <v>277</v>
      </c>
      <c r="I10" s="170">
        <v>1.9E-3</v>
      </c>
      <c r="J10" s="170">
        <v>1.1000000000000001E-3</v>
      </c>
      <c r="K10" s="169" t="s">
        <v>277</v>
      </c>
      <c r="L10" s="170">
        <v>2.3999999999999998E-3</v>
      </c>
      <c r="M10" s="169" t="s">
        <v>277</v>
      </c>
    </row>
    <row r="11" spans="1:13" ht="11.25" customHeight="1">
      <c r="A11" s="168" t="s">
        <v>438</v>
      </c>
      <c r="B11" s="170">
        <v>5.5</v>
      </c>
      <c r="C11" s="170">
        <v>5.36</v>
      </c>
      <c r="D11" s="170">
        <v>5.08</v>
      </c>
      <c r="E11" s="170">
        <v>5.04</v>
      </c>
      <c r="F11" s="169" t="s">
        <v>277</v>
      </c>
      <c r="G11" s="169" t="s">
        <v>277</v>
      </c>
      <c r="H11" s="170">
        <v>0.03</v>
      </c>
      <c r="I11" s="170">
        <v>1.4E-2</v>
      </c>
      <c r="J11" s="170">
        <v>7.4999999999999997E-3</v>
      </c>
      <c r="K11" s="170">
        <v>7.7999999999999996E-3</v>
      </c>
      <c r="L11" s="169" t="s">
        <v>277</v>
      </c>
      <c r="M11" s="169" t="s">
        <v>277</v>
      </c>
    </row>
    <row r="12" spans="1:13" ht="11.25" customHeight="1">
      <c r="A12" s="168" t="s">
        <v>439</v>
      </c>
      <c r="B12" s="170">
        <v>5.77</v>
      </c>
      <c r="C12" s="170">
        <v>5.77</v>
      </c>
      <c r="D12" s="170">
        <v>5.77</v>
      </c>
      <c r="E12" s="170">
        <v>5.77</v>
      </c>
      <c r="F12" s="170">
        <v>5.7</v>
      </c>
      <c r="G12" s="169" t="s">
        <v>277</v>
      </c>
      <c r="H12" s="169" t="s">
        <v>277</v>
      </c>
      <c r="I12" s="170">
        <v>3.0000000000000001E-3</v>
      </c>
      <c r="J12" s="170">
        <v>6.9999999999999999E-4</v>
      </c>
      <c r="K12" s="170">
        <v>5.9999999999999995E-4</v>
      </c>
      <c r="L12" s="170">
        <v>8.8999999999999995E-4</v>
      </c>
      <c r="M12" s="169" t="s">
        <v>277</v>
      </c>
    </row>
    <row r="13" spans="1:13" ht="11.25" customHeight="1">
      <c r="A13" s="168" t="s">
        <v>440</v>
      </c>
      <c r="B13" s="169" t="s">
        <v>277</v>
      </c>
      <c r="C13" s="170">
        <v>233</v>
      </c>
      <c r="D13" s="170">
        <v>232</v>
      </c>
      <c r="E13" s="170">
        <v>232</v>
      </c>
      <c r="F13" s="169" t="s">
        <v>277</v>
      </c>
      <c r="G13" s="169" t="s">
        <v>277</v>
      </c>
      <c r="H13" s="169" t="s">
        <v>277</v>
      </c>
      <c r="I13" s="170">
        <v>1.1000000000000001E-3</v>
      </c>
      <c r="J13" s="170">
        <v>2.0000000000000001E-4</v>
      </c>
      <c r="K13" s="170">
        <v>1E-4</v>
      </c>
      <c r="L13" s="169" t="s">
        <v>277</v>
      </c>
      <c r="M13" s="169" t="s">
        <v>277</v>
      </c>
    </row>
    <row r="14" spans="1:13" ht="11.25" customHeight="1">
      <c r="A14" s="168" t="s">
        <v>441</v>
      </c>
      <c r="B14" s="169" t="s">
        <v>277</v>
      </c>
      <c r="C14" s="170">
        <v>100</v>
      </c>
      <c r="D14" s="170">
        <v>100</v>
      </c>
      <c r="E14" s="170">
        <v>100</v>
      </c>
      <c r="F14" s="169" t="s">
        <v>277</v>
      </c>
      <c r="G14" s="169" t="s">
        <v>277</v>
      </c>
      <c r="H14" s="169" t="s">
        <v>277</v>
      </c>
      <c r="I14" s="170">
        <v>1.5E-3</v>
      </c>
      <c r="J14" s="170">
        <v>2.9999999999999997E-4</v>
      </c>
      <c r="K14" s="170">
        <v>2.5000000000000001E-4</v>
      </c>
      <c r="L14" s="169" t="s">
        <v>277</v>
      </c>
      <c r="M14" s="169" t="s">
        <v>277</v>
      </c>
    </row>
    <row r="15" spans="1:13" ht="11.25" customHeight="1">
      <c r="A15" s="210" t="s">
        <v>442</v>
      </c>
      <c r="B15" s="170"/>
      <c r="C15" s="170"/>
      <c r="D15" s="170"/>
      <c r="E15" s="170"/>
      <c r="F15" s="170"/>
      <c r="G15" s="170"/>
      <c r="H15" s="170"/>
      <c r="I15" s="170"/>
      <c r="J15" s="170"/>
      <c r="K15" s="170"/>
      <c r="L15" s="170"/>
      <c r="M15" s="170"/>
    </row>
    <row r="16" spans="1:13" ht="11.25" customHeight="1">
      <c r="A16" s="168" t="s">
        <v>443</v>
      </c>
      <c r="B16" s="170">
        <v>8.41</v>
      </c>
      <c r="C16" s="170">
        <v>8.3800000000000008</v>
      </c>
      <c r="D16" s="170">
        <v>8.3000000000000007</v>
      </c>
      <c r="E16" s="170">
        <v>8.1999999999999993</v>
      </c>
      <c r="F16" s="170">
        <v>7.99</v>
      </c>
      <c r="G16" s="170">
        <v>7.84</v>
      </c>
      <c r="H16" s="169" t="s">
        <v>277</v>
      </c>
      <c r="I16" s="170">
        <v>4.0000000000000002E-4</v>
      </c>
      <c r="J16" s="170">
        <v>5.0000000000000001E-4</v>
      </c>
      <c r="K16" s="170">
        <v>8.9999999999999998E-4</v>
      </c>
      <c r="L16" s="170">
        <v>1.99E-3</v>
      </c>
      <c r="M16" s="170">
        <v>1.12E-2</v>
      </c>
    </row>
    <row r="17" spans="1:13" ht="11.25" customHeight="1">
      <c r="A17" s="168" t="s">
        <v>444</v>
      </c>
      <c r="B17" s="170"/>
      <c r="C17" s="170">
        <v>4.97</v>
      </c>
      <c r="D17" s="170">
        <v>4.84</v>
      </c>
      <c r="E17" s="170">
        <v>4.84</v>
      </c>
      <c r="F17" s="170">
        <v>4.82</v>
      </c>
      <c r="G17" s="170">
        <v>4.6500000000000004</v>
      </c>
      <c r="H17" s="169" t="s">
        <v>277</v>
      </c>
      <c r="I17" s="170">
        <v>5.4999999999999997E-3</v>
      </c>
      <c r="J17" s="170">
        <v>3.5999999999999999E-3</v>
      </c>
      <c r="K17" s="170">
        <v>3.0000000000000001E-3</v>
      </c>
      <c r="L17" s="170">
        <v>5.4000000000000003E-3</v>
      </c>
      <c r="M17" s="170">
        <v>8.9999999999999993E-3</v>
      </c>
    </row>
    <row r="18" spans="1:13" ht="11.25" customHeight="1">
      <c r="A18" s="168" t="s">
        <v>445</v>
      </c>
      <c r="B18" s="170">
        <v>3.78</v>
      </c>
      <c r="C18" s="170">
        <v>3.78</v>
      </c>
      <c r="D18" s="170">
        <v>3.78</v>
      </c>
      <c r="E18" s="170">
        <v>3.78</v>
      </c>
      <c r="F18" s="170">
        <v>3.78</v>
      </c>
      <c r="G18" s="170">
        <v>3.78</v>
      </c>
      <c r="H18" s="170">
        <v>8.9999999999999998E-4</v>
      </c>
      <c r="I18" s="170">
        <v>7.5000000000000002E-4</v>
      </c>
      <c r="J18" s="170">
        <v>1E-4</v>
      </c>
      <c r="K18" s="170">
        <v>2.0000000000000001E-4</v>
      </c>
      <c r="L18" s="170">
        <v>6.0000000000000002E-5</v>
      </c>
      <c r="M18" s="170">
        <v>2.5000000000000001E-4</v>
      </c>
    </row>
    <row r="19" spans="1:13" ht="11.25" customHeight="1">
      <c r="A19" s="210" t="s">
        <v>446</v>
      </c>
      <c r="B19" s="170"/>
      <c r="C19" s="170"/>
      <c r="D19" s="170"/>
      <c r="E19" s="170"/>
      <c r="F19" s="170"/>
      <c r="G19" s="170"/>
      <c r="H19" s="170"/>
      <c r="I19" s="170"/>
      <c r="J19" s="170"/>
      <c r="K19" s="170"/>
      <c r="L19" s="170"/>
      <c r="M19" s="170"/>
    </row>
    <row r="20" spans="1:13" ht="11.25" customHeight="1">
      <c r="A20" s="168" t="s">
        <v>447</v>
      </c>
      <c r="B20" s="169" t="s">
        <v>277</v>
      </c>
      <c r="C20" s="170">
        <v>5.0999999999999996</v>
      </c>
      <c r="D20" s="170">
        <v>4.76</v>
      </c>
      <c r="E20" s="170">
        <v>4.55</v>
      </c>
      <c r="F20" s="170">
        <v>4.5</v>
      </c>
      <c r="G20" s="169" t="s">
        <v>277</v>
      </c>
      <c r="H20" s="170"/>
      <c r="I20" s="170">
        <v>2.3599999999999999E-2</v>
      </c>
      <c r="J20" s="170">
        <v>1.49E-2</v>
      </c>
      <c r="K20" s="170">
        <v>1.38E-2</v>
      </c>
      <c r="L20" s="170">
        <v>1.0800000000000001E-2</v>
      </c>
      <c r="M20" s="169" t="s">
        <v>277</v>
      </c>
    </row>
    <row r="21" spans="1:13" ht="11.25" customHeight="1">
      <c r="A21" s="168" t="s">
        <v>448</v>
      </c>
      <c r="B21" s="170">
        <v>3.6</v>
      </c>
      <c r="C21" s="170">
        <v>3.48</v>
      </c>
      <c r="D21" s="170">
        <v>3.3</v>
      </c>
      <c r="E21" s="170">
        <v>3.08</v>
      </c>
      <c r="F21" s="170">
        <v>2.91</v>
      </c>
      <c r="G21" s="169" t="s">
        <v>277</v>
      </c>
      <c r="H21" s="170">
        <v>4.4999999999999997E-3</v>
      </c>
      <c r="I21" s="170">
        <v>9.7000000000000003E-3</v>
      </c>
      <c r="J21" s="170">
        <v>1.7999999999999999E-2</v>
      </c>
      <c r="K21" s="170">
        <v>1.7000000000000001E-2</v>
      </c>
      <c r="L21" s="170">
        <v>2.8000000000000001E-2</v>
      </c>
      <c r="M21" s="169" t="s">
        <v>277</v>
      </c>
    </row>
    <row r="22" spans="1:13" ht="11.25" customHeight="1">
      <c r="A22" s="168" t="s">
        <v>449</v>
      </c>
      <c r="B22" s="170">
        <v>5.45</v>
      </c>
      <c r="C22" s="170">
        <v>4.95</v>
      </c>
      <c r="D22" s="170">
        <v>4.51</v>
      </c>
      <c r="E22" s="170">
        <v>3.85</v>
      </c>
      <c r="F22" s="170">
        <v>3.43</v>
      </c>
      <c r="G22" s="170">
        <v>3.21</v>
      </c>
      <c r="H22" s="170">
        <v>9.8000000000000004E-2</v>
      </c>
      <c r="I22" s="170">
        <v>3.3000000000000002E-2</v>
      </c>
      <c r="J22" s="170">
        <v>3.5999999999999997E-2</v>
      </c>
      <c r="K22" s="170">
        <v>5.5E-2</v>
      </c>
      <c r="L22" s="170">
        <v>5.0999999999999997E-2</v>
      </c>
      <c r="M22" s="170">
        <v>3.7999999999999999E-2</v>
      </c>
    </row>
    <row r="23" spans="1:13" ht="11.25" customHeight="1">
      <c r="A23" s="168" t="s">
        <v>450</v>
      </c>
      <c r="B23" s="170">
        <v>2.59</v>
      </c>
      <c r="C23" s="170">
        <v>2.59</v>
      </c>
      <c r="D23" s="170">
        <v>2.58</v>
      </c>
      <c r="E23" s="170">
        <v>2.58</v>
      </c>
      <c r="F23" s="170">
        <v>2.58</v>
      </c>
      <c r="G23" s="169" t="s">
        <v>277</v>
      </c>
      <c r="H23" s="170">
        <v>4.0000000000000002E-4</v>
      </c>
      <c r="I23" s="170">
        <v>5.0000000000000001E-4</v>
      </c>
      <c r="J23" s="170">
        <v>1.6000000000000001E-3</v>
      </c>
      <c r="K23" s="170">
        <v>2E-3</v>
      </c>
      <c r="L23" s="170">
        <v>1.9E-3</v>
      </c>
      <c r="M23" s="169" t="s">
        <v>277</v>
      </c>
    </row>
    <row r="24" spans="1:13" ht="11.25" customHeight="1">
      <c r="A24" s="168" t="s">
        <v>451</v>
      </c>
      <c r="B24" s="169" t="s">
        <v>277</v>
      </c>
      <c r="C24" s="170">
        <v>3.67</v>
      </c>
      <c r="D24" s="170">
        <v>3.62</v>
      </c>
      <c r="E24" s="170">
        <v>3.35</v>
      </c>
      <c r="F24" s="170">
        <v>3.09</v>
      </c>
      <c r="G24" s="169" t="s">
        <v>277</v>
      </c>
      <c r="H24" s="169" t="s">
        <v>277</v>
      </c>
      <c r="I24" s="170">
        <v>2.3999999999999998E-3</v>
      </c>
      <c r="J24" s="170">
        <v>1.9E-2</v>
      </c>
      <c r="K24" s="170">
        <v>3.4000000000000002E-2</v>
      </c>
      <c r="L24" s="170">
        <v>2.7E-2</v>
      </c>
      <c r="M24" s="169" t="s">
        <v>277</v>
      </c>
    </row>
    <row r="25" spans="1:13" ht="11.25" customHeight="1">
      <c r="A25" s="168" t="s">
        <v>452</v>
      </c>
      <c r="B25" s="169" t="s">
        <v>277</v>
      </c>
      <c r="C25" s="170">
        <v>3.63</v>
      </c>
      <c r="D25" s="170">
        <v>3.52</v>
      </c>
      <c r="E25" s="170">
        <v>3.32</v>
      </c>
      <c r="F25" s="170">
        <v>3.04</v>
      </c>
      <c r="G25" s="169" t="s">
        <v>277</v>
      </c>
      <c r="H25" s="169" t="s">
        <v>277</v>
      </c>
      <c r="I25" s="170">
        <v>3.8E-3</v>
      </c>
      <c r="J25" s="170">
        <v>1.4200000000000001E-2</v>
      </c>
      <c r="K25" s="170">
        <v>2.64E-2</v>
      </c>
      <c r="L25" s="170">
        <v>2.1000000000000001E-2</v>
      </c>
      <c r="M25" s="169" t="s">
        <v>277</v>
      </c>
    </row>
    <row r="26" spans="1:13" ht="11.25" customHeight="1">
      <c r="A26" s="168" t="s">
        <v>453</v>
      </c>
      <c r="B26" s="170">
        <v>1.03</v>
      </c>
      <c r="C26" s="170">
        <v>1.03</v>
      </c>
      <c r="D26" s="170">
        <v>1.03</v>
      </c>
      <c r="E26" s="169" t="s">
        <v>277</v>
      </c>
      <c r="F26" s="170">
        <v>1.03</v>
      </c>
      <c r="G26" s="170">
        <v>1.03</v>
      </c>
      <c r="H26" s="170" t="s">
        <v>454</v>
      </c>
      <c r="I26" s="170" t="s">
        <v>455</v>
      </c>
      <c r="J26" s="170" t="s">
        <v>454</v>
      </c>
      <c r="K26" s="169" t="s">
        <v>277</v>
      </c>
      <c r="L26" s="170">
        <v>1E-4</v>
      </c>
      <c r="M26" s="169" t="s">
        <v>277</v>
      </c>
    </row>
    <row r="27" spans="1:13" ht="11.25" customHeight="1">
      <c r="A27" s="168" t="s">
        <v>456</v>
      </c>
      <c r="B27" s="169" t="s">
        <v>277</v>
      </c>
      <c r="C27" s="170">
        <v>7.57</v>
      </c>
      <c r="D27" s="170">
        <v>7</v>
      </c>
      <c r="E27" s="170">
        <v>6</v>
      </c>
      <c r="F27" s="170">
        <v>4.93</v>
      </c>
      <c r="G27" s="169" t="s">
        <v>277</v>
      </c>
      <c r="H27" s="169" t="s">
        <v>277</v>
      </c>
      <c r="I27" s="170">
        <v>1.2200000000000001E-2</v>
      </c>
      <c r="J27" s="170">
        <v>4.1000000000000002E-2</v>
      </c>
      <c r="K27" s="170">
        <v>8.5000000000000006E-2</v>
      </c>
      <c r="L27" s="170">
        <v>0.10299999999999999</v>
      </c>
      <c r="M27" s="169" t="s">
        <v>277</v>
      </c>
    </row>
    <row r="28" spans="1:13" ht="11.25" customHeight="1">
      <c r="A28" s="168" t="s">
        <v>457</v>
      </c>
      <c r="B28" s="169" t="s">
        <v>277</v>
      </c>
      <c r="C28" s="170">
        <v>6</v>
      </c>
      <c r="D28" s="170">
        <v>5.75</v>
      </c>
      <c r="E28" s="170">
        <v>5.5</v>
      </c>
      <c r="F28" s="169" t="s">
        <v>277</v>
      </c>
      <c r="G28" s="169" t="s">
        <v>277</v>
      </c>
      <c r="H28" s="169" t="s">
        <v>277</v>
      </c>
      <c r="I28" s="170">
        <v>1.1900000000000001E-2</v>
      </c>
      <c r="J28" s="170">
        <v>1.15E-2</v>
      </c>
      <c r="K28" s="170">
        <v>0.02</v>
      </c>
      <c r="L28" s="169" t="s">
        <v>277</v>
      </c>
      <c r="M28" s="169" t="s">
        <v>277</v>
      </c>
    </row>
    <row r="29" spans="1:13" ht="11.25" customHeight="1">
      <c r="A29" s="168" t="s">
        <v>458</v>
      </c>
      <c r="B29" s="170">
        <v>4.9000000000000004</v>
      </c>
      <c r="C29" s="170">
        <v>4.74</v>
      </c>
      <c r="D29" s="170">
        <v>4.3600000000000003</v>
      </c>
      <c r="E29" s="170">
        <v>3.95</v>
      </c>
      <c r="F29" s="170">
        <v>3.7</v>
      </c>
      <c r="G29" s="170">
        <v>3.55</v>
      </c>
      <c r="H29" s="170">
        <v>0.08</v>
      </c>
      <c r="I29" s="170">
        <v>2.1999999999999999E-2</v>
      </c>
      <c r="J29" s="170">
        <v>2.8000000000000001E-2</v>
      </c>
      <c r="K29" s="170">
        <v>3.7999999999999999E-2</v>
      </c>
      <c r="L29" s="170">
        <v>4.3799999999999999E-2</v>
      </c>
      <c r="M29" s="170">
        <v>3.9E-2</v>
      </c>
    </row>
    <row r="30" spans="1:13" ht="11.25" customHeight="1">
      <c r="A30" s="168" t="s">
        <v>459</v>
      </c>
      <c r="B30" s="170">
        <v>5.25</v>
      </c>
      <c r="C30" s="170">
        <v>5.15</v>
      </c>
      <c r="D30" s="170">
        <v>4.5999999999999996</v>
      </c>
      <c r="E30" s="170">
        <v>4.04</v>
      </c>
      <c r="F30" s="170">
        <v>3.57</v>
      </c>
      <c r="G30" s="169" t="s">
        <v>277</v>
      </c>
      <c r="H30" s="170">
        <v>2.5000000000000001E-2</v>
      </c>
      <c r="I30" s="170">
        <v>1.6500000000000001E-2</v>
      </c>
      <c r="J30" s="170">
        <v>3.4000000000000002E-2</v>
      </c>
      <c r="K30" s="170">
        <v>5.7000000000000002E-2</v>
      </c>
      <c r="L30" s="170">
        <v>0.06</v>
      </c>
      <c r="M30" s="169" t="s">
        <v>277</v>
      </c>
    </row>
    <row r="31" spans="1:13" ht="11.25" customHeight="1">
      <c r="A31" s="168" t="s">
        <v>460</v>
      </c>
      <c r="B31" s="170">
        <v>5.0999999999999996</v>
      </c>
      <c r="C31" s="170">
        <v>5.03</v>
      </c>
      <c r="D31" s="170">
        <v>4.78</v>
      </c>
      <c r="E31" s="170">
        <v>4.72</v>
      </c>
      <c r="F31" s="170">
        <v>4.71</v>
      </c>
      <c r="G31" s="169" t="s">
        <v>277</v>
      </c>
      <c r="H31" s="170">
        <v>1.4999999999999999E-2</v>
      </c>
      <c r="I31" s="170">
        <v>1.04E-2</v>
      </c>
      <c r="J31" s="170">
        <v>8.2000000000000007E-3</v>
      </c>
      <c r="K31" s="170">
        <v>1.15E-2</v>
      </c>
      <c r="L31" s="170">
        <v>1.26E-2</v>
      </c>
      <c r="M31" s="169" t="s">
        <v>277</v>
      </c>
    </row>
    <row r="32" spans="1:13" ht="11.25" customHeight="1">
      <c r="A32" s="168" t="s">
        <v>278</v>
      </c>
      <c r="B32" s="169" t="s">
        <v>277</v>
      </c>
      <c r="C32" s="170">
        <v>3.17</v>
      </c>
      <c r="D32" s="170">
        <v>3.02</v>
      </c>
      <c r="E32" s="170">
        <v>2.96</v>
      </c>
      <c r="F32" s="169" t="s">
        <v>277</v>
      </c>
      <c r="G32" s="169" t="s">
        <v>277</v>
      </c>
      <c r="H32" s="170">
        <v>8.9999999999999993E-3</v>
      </c>
      <c r="I32" s="170">
        <v>2.0999999999999999E-3</v>
      </c>
      <c r="J32" s="170">
        <v>0.01</v>
      </c>
      <c r="K32" s="169" t="s">
        <v>277</v>
      </c>
      <c r="L32" s="169" t="s">
        <v>277</v>
      </c>
      <c r="M32" s="169" t="s">
        <v>277</v>
      </c>
    </row>
    <row r="33" spans="1:13" ht="11.25" customHeight="1">
      <c r="A33" s="168" t="s">
        <v>279</v>
      </c>
      <c r="B33" s="170">
        <v>2.72</v>
      </c>
      <c r="C33" s="170">
        <v>2.63</v>
      </c>
      <c r="D33" s="170">
        <v>2.42</v>
      </c>
      <c r="E33" s="170">
        <v>2.3199999999999998</v>
      </c>
      <c r="F33" s="170">
        <v>2.29</v>
      </c>
      <c r="G33" s="170">
        <v>2.2799999999999998</v>
      </c>
      <c r="H33" s="170">
        <v>1.4999999999999999E-2</v>
      </c>
      <c r="I33" s="170">
        <v>2.7E-2</v>
      </c>
      <c r="J33" s="170">
        <v>8.2000000000000007E-3</v>
      </c>
      <c r="K33" s="169" t="s">
        <v>277</v>
      </c>
      <c r="L33" s="170">
        <v>2.8E-3</v>
      </c>
      <c r="M33" s="170">
        <v>5.3E-3</v>
      </c>
    </row>
    <row r="34" spans="1:13" ht="11.25" customHeight="1">
      <c r="A34" s="168" t="s">
        <v>280</v>
      </c>
      <c r="B34" s="170">
        <v>2.2599999999999998</v>
      </c>
      <c r="C34" s="170">
        <v>2.2599999999999998</v>
      </c>
      <c r="D34" s="170">
        <v>2.2599999999999998</v>
      </c>
      <c r="E34" s="170">
        <v>2.2599999999999998</v>
      </c>
      <c r="F34" s="170">
        <v>2.2599999999999998</v>
      </c>
      <c r="G34" s="170">
        <v>2.2599999999999998</v>
      </c>
      <c r="H34" s="170" t="s">
        <v>454</v>
      </c>
      <c r="I34" s="170" t="s">
        <v>454</v>
      </c>
      <c r="J34" s="170" t="s">
        <v>454</v>
      </c>
      <c r="K34" s="170">
        <v>2.0000000000000001E-4</v>
      </c>
      <c r="L34" s="170">
        <v>3.1E-4</v>
      </c>
      <c r="M34" s="170">
        <v>5.9999999999999995E-4</v>
      </c>
    </row>
    <row r="35" spans="1:13" ht="11.25" customHeight="1">
      <c r="A35" s="168" t="s">
        <v>281</v>
      </c>
      <c r="B35" s="170">
        <v>3.16</v>
      </c>
      <c r="C35" s="170">
        <v>3.12</v>
      </c>
      <c r="D35" s="170">
        <v>2.98</v>
      </c>
      <c r="E35" s="169" t="s">
        <v>277</v>
      </c>
      <c r="F35" s="169" t="s">
        <v>277</v>
      </c>
      <c r="G35" s="169" t="s">
        <v>277</v>
      </c>
      <c r="H35" s="170">
        <v>2.0999999999999999E-3</v>
      </c>
      <c r="I35" s="170">
        <v>4.7000000000000002E-3</v>
      </c>
      <c r="J35" s="170">
        <v>1.6E-2</v>
      </c>
      <c r="K35" s="169" t="s">
        <v>277</v>
      </c>
      <c r="L35" s="169" t="s">
        <v>277</v>
      </c>
      <c r="M35" s="169" t="s">
        <v>277</v>
      </c>
    </row>
    <row r="36" spans="1:13" ht="11.25" customHeight="1">
      <c r="A36" s="168" t="s">
        <v>282</v>
      </c>
      <c r="B36" s="169" t="s">
        <v>277</v>
      </c>
      <c r="C36" s="170">
        <v>2.75</v>
      </c>
      <c r="D36" s="170">
        <v>2.5499999999999998</v>
      </c>
      <c r="E36" s="170">
        <v>2.52</v>
      </c>
      <c r="F36" s="170">
        <v>2.5099999999999998</v>
      </c>
      <c r="G36" s="170">
        <v>2.5</v>
      </c>
      <c r="H36" s="169" t="s">
        <v>277</v>
      </c>
      <c r="I36" s="170">
        <v>2.9399999999999999E-2</v>
      </c>
      <c r="J36" s="170">
        <v>8.9999999999999993E-3</v>
      </c>
      <c r="K36" s="170"/>
      <c r="L36" s="170">
        <v>7.4999999999999997E-3</v>
      </c>
      <c r="M36" s="170">
        <v>8.3000000000000001E-3</v>
      </c>
    </row>
    <row r="37" spans="1:13" ht="11.25" customHeight="1">
      <c r="A37" s="168" t="s">
        <v>283</v>
      </c>
      <c r="B37" s="170">
        <v>3.7</v>
      </c>
      <c r="C37" s="170">
        <v>3.5</v>
      </c>
      <c r="D37" s="170">
        <v>3.14</v>
      </c>
      <c r="E37" s="170">
        <v>3</v>
      </c>
      <c r="F37" s="170">
        <v>2.84</v>
      </c>
      <c r="G37" s="170">
        <v>2.73</v>
      </c>
      <c r="H37" s="170">
        <v>1.7999999999999999E-2</v>
      </c>
      <c r="I37" s="170">
        <v>1.8599999999999998E-2</v>
      </c>
      <c r="J37" s="170">
        <v>2.18E-2</v>
      </c>
      <c r="K37" s="170">
        <v>0.02</v>
      </c>
      <c r="L37" s="170">
        <v>1.17E-2</v>
      </c>
      <c r="M37" s="170">
        <v>1.0500000000000001E-2</v>
      </c>
    </row>
    <row r="38" spans="1:13" ht="11.25" customHeight="1">
      <c r="A38" s="168" t="s">
        <v>284</v>
      </c>
      <c r="B38" s="169" t="s">
        <v>277</v>
      </c>
      <c r="C38" s="170">
        <v>3.5</v>
      </c>
      <c r="D38" s="170">
        <v>3.4</v>
      </c>
      <c r="E38" s="169" t="s">
        <v>277</v>
      </c>
      <c r="F38" s="169" t="s">
        <v>277</v>
      </c>
      <c r="G38" s="169" t="s">
        <v>277</v>
      </c>
      <c r="H38" s="169" t="s">
        <v>277</v>
      </c>
      <c r="I38" s="170">
        <v>2E-3</v>
      </c>
      <c r="J38" s="170">
        <v>3.0000000000000001E-3</v>
      </c>
      <c r="K38" s="169" t="s">
        <v>277</v>
      </c>
      <c r="L38" s="169" t="s">
        <v>277</v>
      </c>
      <c r="M38" s="169" t="s">
        <v>277</v>
      </c>
    </row>
    <row r="39" spans="1:13" ht="11.25" customHeight="1">
      <c r="A39" s="168" t="s">
        <v>285</v>
      </c>
      <c r="B39" s="170">
        <v>2.23</v>
      </c>
      <c r="C39" s="170">
        <v>2.23</v>
      </c>
      <c r="D39" s="170">
        <v>2.23</v>
      </c>
      <c r="E39" s="170">
        <v>2.23</v>
      </c>
      <c r="F39" s="170">
        <v>2.23</v>
      </c>
      <c r="G39" s="169" t="s">
        <v>277</v>
      </c>
      <c r="H39" s="170">
        <v>4.0000000000000002E-4</v>
      </c>
      <c r="I39" s="170">
        <v>1E-4</v>
      </c>
      <c r="J39" s="170">
        <v>1E-4</v>
      </c>
      <c r="K39" s="170">
        <v>2.9999999999999997E-4</v>
      </c>
      <c r="L39" s="170">
        <v>4.6999999999999999E-4</v>
      </c>
      <c r="M39" s="169" t="s">
        <v>277</v>
      </c>
    </row>
    <row r="40" spans="1:13" ht="11.25" customHeight="1">
      <c r="A40" s="168" t="s">
        <v>286</v>
      </c>
      <c r="B40" s="169" t="s">
        <v>277</v>
      </c>
      <c r="C40" s="170">
        <v>3.15</v>
      </c>
      <c r="D40" s="170">
        <v>2.9</v>
      </c>
      <c r="E40" s="170">
        <v>2.8</v>
      </c>
      <c r="F40" s="170">
        <v>2.74</v>
      </c>
      <c r="G40" s="169" t="s">
        <v>277</v>
      </c>
      <c r="H40" s="169" t="s">
        <v>277</v>
      </c>
      <c r="I40" s="170">
        <v>1.6500000000000001E-2</v>
      </c>
      <c r="J40" s="170">
        <v>1.4999999999999999E-2</v>
      </c>
      <c r="K40" s="170">
        <v>8.0000000000000002E-3</v>
      </c>
      <c r="L40" s="170">
        <v>5.8999999999999999E-3</v>
      </c>
      <c r="M40" s="169" t="s">
        <v>277</v>
      </c>
    </row>
    <row r="41" spans="1:13" ht="11.25" customHeight="1">
      <c r="A41" s="168" t="s">
        <v>287</v>
      </c>
      <c r="B41" s="170">
        <v>3.45</v>
      </c>
      <c r="C41" s="170">
        <v>3.12</v>
      </c>
      <c r="D41" s="170">
        <v>2.76</v>
      </c>
      <c r="E41" s="169" t="s">
        <v>277</v>
      </c>
      <c r="F41" s="170">
        <v>2.6</v>
      </c>
      <c r="G41" s="169" t="s">
        <v>277</v>
      </c>
      <c r="H41" s="170">
        <v>6.4000000000000001E-2</v>
      </c>
      <c r="I41" s="170">
        <v>4.65E-2</v>
      </c>
      <c r="J41" s="170">
        <v>1.4E-2</v>
      </c>
      <c r="K41" s="169" t="s">
        <v>277</v>
      </c>
      <c r="L41" s="170">
        <v>5.7000000000000002E-3</v>
      </c>
      <c r="M41" s="169" t="s">
        <v>277</v>
      </c>
    </row>
    <row r="42" spans="1:13" ht="11.25" customHeight="1">
      <c r="A42" s="168" t="s">
        <v>288</v>
      </c>
      <c r="B42" s="170">
        <v>2.5499999999999998</v>
      </c>
      <c r="C42" s="170">
        <v>2.5499999999999998</v>
      </c>
      <c r="D42" s="170">
        <v>2.5499999999999998</v>
      </c>
      <c r="E42" s="169" t="s">
        <v>277</v>
      </c>
      <c r="F42" s="170">
        <v>2.5499999999999998</v>
      </c>
      <c r="G42" s="169" t="s">
        <v>277</v>
      </c>
      <c r="H42" s="170">
        <v>4.0000000000000002E-4</v>
      </c>
      <c r="I42" s="170">
        <v>2.9999999999999997E-4</v>
      </c>
      <c r="J42" s="170">
        <v>6.9999999999999999E-4</v>
      </c>
      <c r="K42" s="169" t="s">
        <v>277</v>
      </c>
      <c r="L42" s="170">
        <v>1.1000000000000001E-3</v>
      </c>
      <c r="M42" s="169" t="s">
        <v>277</v>
      </c>
    </row>
    <row r="43" spans="1:13" ht="11.25" customHeight="1">
      <c r="A43" s="168" t="s">
        <v>289</v>
      </c>
      <c r="B43" s="170">
        <v>2.25</v>
      </c>
      <c r="C43" s="170">
        <v>2.25</v>
      </c>
      <c r="D43" s="170">
        <v>2.5499999999999998</v>
      </c>
      <c r="E43" s="169" t="s">
        <v>277</v>
      </c>
      <c r="F43" s="169" t="s">
        <v>277</v>
      </c>
      <c r="G43" s="169" t="s">
        <v>277</v>
      </c>
      <c r="H43" s="170" t="s">
        <v>461</v>
      </c>
      <c r="I43" s="170" t="s">
        <v>461</v>
      </c>
      <c r="J43" s="170" t="s">
        <v>461</v>
      </c>
      <c r="K43" s="169" t="s">
        <v>277</v>
      </c>
      <c r="L43" s="169" t="s">
        <v>277</v>
      </c>
      <c r="M43" s="169" t="s">
        <v>277</v>
      </c>
    </row>
    <row r="44" spans="1:13" ht="11.25" customHeight="1">
      <c r="A44" s="168" t="s">
        <v>290</v>
      </c>
      <c r="B44" s="170">
        <v>2.56</v>
      </c>
      <c r="C44" s="170">
        <v>2.56</v>
      </c>
      <c r="D44" s="170">
        <v>2.56</v>
      </c>
      <c r="E44" s="170">
        <v>2.5499999999999998</v>
      </c>
      <c r="F44" s="170">
        <v>2.5499999999999998</v>
      </c>
      <c r="G44" s="170">
        <v>2.54</v>
      </c>
      <c r="H44" s="170" t="s">
        <v>462</v>
      </c>
      <c r="I44" s="170" t="s">
        <v>462</v>
      </c>
      <c r="J44" s="170">
        <v>6.9999999999999994E-5</v>
      </c>
      <c r="K44" s="170" t="s">
        <v>455</v>
      </c>
      <c r="L44" s="170">
        <v>3.3E-4</v>
      </c>
      <c r="M44" s="170">
        <v>1.1999999999999999E-3</v>
      </c>
    </row>
    <row r="45" spans="1:13" ht="11.25" customHeight="1">
      <c r="A45" s="168" t="s">
        <v>291</v>
      </c>
      <c r="B45" s="170">
        <v>2.1</v>
      </c>
      <c r="C45" s="170">
        <v>2.1</v>
      </c>
      <c r="D45" s="170">
        <v>2.1</v>
      </c>
      <c r="E45" s="170">
        <v>2.1</v>
      </c>
      <c r="F45" s="170">
        <v>2.1</v>
      </c>
      <c r="G45" s="170">
        <v>2.08</v>
      </c>
      <c r="H45" s="170" t="s">
        <v>461</v>
      </c>
      <c r="I45" s="170" t="s">
        <v>434</v>
      </c>
      <c r="J45" s="170" t="s">
        <v>454</v>
      </c>
      <c r="K45" s="170" t="s">
        <v>454</v>
      </c>
      <c r="L45" s="170">
        <v>1.4999999999999999E-4</v>
      </c>
      <c r="M45" s="170">
        <v>5.9999999999999995E-4</v>
      </c>
    </row>
    <row r="46" spans="1:13" ht="11.25" customHeight="1">
      <c r="A46" s="168" t="s">
        <v>292</v>
      </c>
      <c r="B46" s="169" t="s">
        <v>277</v>
      </c>
      <c r="C46" s="170">
        <v>2.25</v>
      </c>
      <c r="D46" s="170">
        <v>2.25</v>
      </c>
      <c r="E46" s="170">
        <v>2.25</v>
      </c>
      <c r="F46" s="170">
        <v>2.25</v>
      </c>
      <c r="G46" s="169" t="s">
        <v>277</v>
      </c>
      <c r="H46" s="169" t="s">
        <v>277</v>
      </c>
      <c r="I46" s="170">
        <v>2.0000000000000001E-4</v>
      </c>
      <c r="J46" s="170" t="s">
        <v>454</v>
      </c>
      <c r="K46" s="170" t="s">
        <v>454</v>
      </c>
      <c r="L46" s="170">
        <v>1.8000000000000001E-4</v>
      </c>
      <c r="M46" s="169" t="s">
        <v>277</v>
      </c>
    </row>
    <row r="47" spans="1:13" ht="11.25" customHeight="1">
      <c r="A47" s="168" t="s">
        <v>293</v>
      </c>
      <c r="B47" s="170">
        <v>3.2</v>
      </c>
      <c r="C47" s="170">
        <v>3.12</v>
      </c>
      <c r="D47" s="170">
        <v>2.92</v>
      </c>
      <c r="E47" s="170">
        <v>2.8</v>
      </c>
      <c r="F47" s="170">
        <v>2.76</v>
      </c>
      <c r="G47" s="170">
        <v>2.7</v>
      </c>
      <c r="H47" s="170">
        <v>3.0000000000000001E-3</v>
      </c>
      <c r="I47" s="170">
        <v>0.01</v>
      </c>
      <c r="J47" s="170">
        <v>1.9E-2</v>
      </c>
      <c r="K47" s="170">
        <v>1.2999999999999999E-2</v>
      </c>
      <c r="L47" s="170">
        <v>1.1299999999999999E-2</v>
      </c>
      <c r="M47" s="170">
        <v>1.15E-2</v>
      </c>
    </row>
    <row r="48" spans="1:13" ht="11.25" customHeight="1">
      <c r="A48" s="168" t="s">
        <v>294</v>
      </c>
      <c r="B48" s="170">
        <v>8.4</v>
      </c>
      <c r="C48" s="170">
        <v>8</v>
      </c>
      <c r="D48" s="170">
        <v>6.6</v>
      </c>
      <c r="E48" s="169" t="s">
        <v>277</v>
      </c>
      <c r="F48" s="169" t="s">
        <v>277</v>
      </c>
      <c r="G48" s="169" t="s">
        <v>277</v>
      </c>
      <c r="H48" s="170">
        <v>4.9000000000000002E-2</v>
      </c>
      <c r="I48" s="170">
        <v>1.7999999999999999E-2</v>
      </c>
      <c r="J48" s="170">
        <v>0.17</v>
      </c>
      <c r="K48" s="169" t="s">
        <v>277</v>
      </c>
      <c r="L48" s="169" t="s">
        <v>277</v>
      </c>
      <c r="M48" s="169" t="s">
        <v>277</v>
      </c>
    </row>
    <row r="49" spans="1:13" ht="11.25" customHeight="1">
      <c r="A49" s="168" t="s">
        <v>295</v>
      </c>
      <c r="B49" s="170">
        <v>6.6</v>
      </c>
      <c r="C49" s="170">
        <v>6.2</v>
      </c>
      <c r="D49" s="170">
        <v>5.65</v>
      </c>
      <c r="E49" s="170">
        <v>5.0999999999999996</v>
      </c>
      <c r="F49" s="170">
        <v>4.57</v>
      </c>
      <c r="G49" s="169" t="s">
        <v>277</v>
      </c>
      <c r="H49" s="170">
        <v>3.2000000000000001E-2</v>
      </c>
      <c r="I49" s="170">
        <v>2.4E-2</v>
      </c>
      <c r="J49" s="170">
        <v>2.7E-2</v>
      </c>
      <c r="K49" s="170">
        <v>0.05</v>
      </c>
      <c r="L49" s="170">
        <v>5.5500000000000001E-2</v>
      </c>
      <c r="M49" s="169" t="s">
        <v>277</v>
      </c>
    </row>
    <row r="50" spans="1:13" ht="11.25" customHeight="1">
      <c r="A50" s="168" t="s">
        <v>296</v>
      </c>
      <c r="B50" s="170" t="s">
        <v>297</v>
      </c>
      <c r="C50" s="170" t="s">
        <v>297</v>
      </c>
      <c r="D50" s="170" t="s">
        <v>298</v>
      </c>
      <c r="E50" s="169" t="s">
        <v>277</v>
      </c>
      <c r="F50" s="169" t="s">
        <v>277</v>
      </c>
      <c r="G50" s="169" t="s">
        <v>277</v>
      </c>
      <c r="H50" s="170">
        <v>1.6E-2</v>
      </c>
      <c r="I50" s="170">
        <v>5.5E-2</v>
      </c>
      <c r="J50" s="169" t="s">
        <v>277</v>
      </c>
      <c r="K50" s="169" t="s">
        <v>277</v>
      </c>
      <c r="L50" s="169" t="s">
        <v>277</v>
      </c>
      <c r="M50" s="169" t="s">
        <v>277</v>
      </c>
    </row>
    <row r="51" spans="1:13" ht="11.25" customHeight="1">
      <c r="A51" s="168" t="s">
        <v>299</v>
      </c>
      <c r="B51" s="170">
        <v>5</v>
      </c>
      <c r="C51" s="170">
        <v>4.6500000000000004</v>
      </c>
      <c r="D51" s="170">
        <v>3.18</v>
      </c>
      <c r="E51" s="170">
        <v>2.82</v>
      </c>
      <c r="F51" s="170">
        <v>2.71</v>
      </c>
      <c r="G51" s="169" t="s">
        <v>277</v>
      </c>
      <c r="H51" s="170">
        <v>4.2000000000000003E-2</v>
      </c>
      <c r="I51" s="170">
        <v>6.3E-2</v>
      </c>
      <c r="J51" s="170">
        <v>5.7000000000000002E-2</v>
      </c>
      <c r="K51" s="170">
        <v>1.7999999999999999E-2</v>
      </c>
      <c r="L51" s="170">
        <v>7.1999999999999998E-3</v>
      </c>
      <c r="M51" s="169" t="s">
        <v>277</v>
      </c>
    </row>
    <row r="52" spans="1:13" ht="11.25" customHeight="1">
      <c r="A52" s="168" t="s">
        <v>300</v>
      </c>
      <c r="B52" s="170">
        <v>3.7</v>
      </c>
      <c r="C52" s="170">
        <v>3.68</v>
      </c>
      <c r="D52" s="170">
        <v>3.58</v>
      </c>
      <c r="E52" s="170">
        <v>3.5</v>
      </c>
      <c r="F52" s="170">
        <v>3.44</v>
      </c>
      <c r="G52" s="169" t="s">
        <v>277</v>
      </c>
      <c r="H52" s="170">
        <v>3.3E-3</v>
      </c>
      <c r="I52" s="170">
        <v>3.2000000000000002E-3</v>
      </c>
      <c r="J52" s="170">
        <v>6.1000000000000004E-3</v>
      </c>
      <c r="K52" s="170">
        <v>3.3E-3</v>
      </c>
      <c r="L52" s="170">
        <v>2.5999999999999999E-3</v>
      </c>
      <c r="M52" s="169" t="s">
        <v>277</v>
      </c>
    </row>
    <row r="53" spans="1:13" ht="11.25" customHeight="1">
      <c r="A53" s="168" t="s">
        <v>301</v>
      </c>
      <c r="B53" s="170">
        <v>8.6</v>
      </c>
      <c r="C53" s="170">
        <v>7.15</v>
      </c>
      <c r="D53" s="170">
        <v>5.4</v>
      </c>
      <c r="E53" s="170">
        <v>4.4000000000000004</v>
      </c>
      <c r="F53" s="170">
        <v>3.64</v>
      </c>
      <c r="G53" s="169" t="s">
        <v>277</v>
      </c>
      <c r="H53" s="170">
        <v>0.15</v>
      </c>
      <c r="I53" s="170">
        <v>8.2000000000000003E-2</v>
      </c>
      <c r="J53" s="170">
        <v>0.06</v>
      </c>
      <c r="K53" s="170">
        <v>7.6999999999999999E-2</v>
      </c>
      <c r="L53" s="170">
        <v>5.1999999999999998E-2</v>
      </c>
      <c r="M53" s="169" t="s">
        <v>277</v>
      </c>
    </row>
    <row r="54" spans="1:13" ht="11.25" customHeight="1">
      <c r="A54" s="211" t="s">
        <v>302</v>
      </c>
      <c r="B54" s="212">
        <v>3.2</v>
      </c>
      <c r="C54" s="212">
        <v>3.1</v>
      </c>
      <c r="D54" s="212">
        <v>2.88</v>
      </c>
      <c r="E54" s="212">
        <v>2.85</v>
      </c>
      <c r="F54" s="212">
        <v>2.84</v>
      </c>
      <c r="G54" s="213" t="s">
        <v>277</v>
      </c>
      <c r="H54" s="212">
        <v>1.15E-2</v>
      </c>
      <c r="I54" s="212">
        <v>1.8499999999999999E-2</v>
      </c>
      <c r="J54" s="212">
        <v>1.6E-2</v>
      </c>
      <c r="K54" s="212">
        <v>8.0999999999999996E-3</v>
      </c>
      <c r="L54" s="212">
        <v>5.4999999999999997E-3</v>
      </c>
      <c r="M54" s="213" t="s">
        <v>277</v>
      </c>
    </row>
    <row r="55" spans="1:13" ht="22.5" customHeight="1">
      <c r="A55" s="300" t="s">
        <v>269</v>
      </c>
      <c r="B55" s="302" t="s">
        <v>270</v>
      </c>
      <c r="C55" s="303"/>
      <c r="D55" s="303"/>
      <c r="E55" s="303"/>
      <c r="F55" s="303"/>
      <c r="G55" s="317"/>
      <c r="H55" s="302" t="s">
        <v>428</v>
      </c>
      <c r="I55" s="303"/>
      <c r="J55" s="303"/>
      <c r="K55" s="303"/>
      <c r="L55" s="303"/>
      <c r="M55" s="303"/>
    </row>
    <row r="56" spans="1:13" ht="11.25" customHeight="1">
      <c r="A56" s="301"/>
      <c r="B56" s="167" t="s">
        <v>271</v>
      </c>
      <c r="C56" s="167" t="s">
        <v>272</v>
      </c>
      <c r="D56" s="167" t="s">
        <v>273</v>
      </c>
      <c r="E56" s="167" t="s">
        <v>274</v>
      </c>
      <c r="F56" s="167" t="s">
        <v>275</v>
      </c>
      <c r="G56" s="167" t="s">
        <v>276</v>
      </c>
      <c r="H56" s="167" t="s">
        <v>271</v>
      </c>
      <c r="I56" s="167" t="s">
        <v>272</v>
      </c>
      <c r="J56" s="167" t="s">
        <v>273</v>
      </c>
      <c r="K56" s="167" t="s">
        <v>274</v>
      </c>
      <c r="L56" s="167" t="s">
        <v>275</v>
      </c>
      <c r="M56" s="167" t="s">
        <v>276</v>
      </c>
    </row>
    <row r="57" spans="1:13" ht="11.25" customHeight="1">
      <c r="A57" s="209" t="s">
        <v>463</v>
      </c>
      <c r="B57" s="172"/>
      <c r="C57" s="172"/>
      <c r="D57" s="172"/>
      <c r="E57" s="172"/>
      <c r="F57" s="172"/>
      <c r="G57" s="172"/>
      <c r="H57" s="172"/>
      <c r="I57" s="172"/>
      <c r="J57" s="172"/>
      <c r="K57" s="172"/>
      <c r="L57" s="172"/>
      <c r="M57" s="172"/>
    </row>
    <row r="58" spans="1:13" ht="11.25" customHeight="1">
      <c r="A58" s="168" t="s">
        <v>464</v>
      </c>
      <c r="B58" s="169" t="s">
        <v>277</v>
      </c>
      <c r="C58" s="169" t="s">
        <v>277</v>
      </c>
      <c r="D58" s="170">
        <v>1.94</v>
      </c>
      <c r="E58" s="170">
        <v>1.94</v>
      </c>
      <c r="F58" s="170">
        <v>1.92</v>
      </c>
      <c r="G58" s="169" t="s">
        <v>277</v>
      </c>
      <c r="H58" s="169" t="s">
        <v>277</v>
      </c>
      <c r="I58" s="169" t="s">
        <v>277</v>
      </c>
      <c r="J58" s="169" t="s">
        <v>277</v>
      </c>
      <c r="K58" s="170">
        <v>1E-4</v>
      </c>
      <c r="L58" s="170">
        <v>1.4E-3</v>
      </c>
      <c r="M58" s="169" t="s">
        <v>277</v>
      </c>
    </row>
    <row r="59" spans="1:13" ht="11.25" customHeight="1">
      <c r="A59" s="168" t="s">
        <v>465</v>
      </c>
      <c r="B59" s="170">
        <v>2.2799999999999998</v>
      </c>
      <c r="C59" s="170">
        <v>2.2799999999999998</v>
      </c>
      <c r="D59" s="170">
        <v>2.2799999999999998</v>
      </c>
      <c r="E59" s="170">
        <v>2.2799999999999998</v>
      </c>
      <c r="F59" s="170">
        <v>2.2799999999999998</v>
      </c>
      <c r="G59" s="170">
        <v>2.2799999999999998</v>
      </c>
      <c r="H59" s="170" t="s">
        <v>455</v>
      </c>
      <c r="I59" s="170" t="s">
        <v>455</v>
      </c>
      <c r="J59" s="170" t="s">
        <v>455</v>
      </c>
      <c r="K59" s="170" t="s">
        <v>455</v>
      </c>
      <c r="L59" s="170" t="s">
        <v>455</v>
      </c>
      <c r="M59" s="170" t="s">
        <v>455</v>
      </c>
    </row>
    <row r="60" spans="1:13" ht="11.25" customHeight="1">
      <c r="A60" s="168" t="s">
        <v>466</v>
      </c>
      <c r="B60" s="170">
        <v>2.17</v>
      </c>
      <c r="C60" s="170">
        <v>2.17</v>
      </c>
      <c r="D60" s="170">
        <v>2.17</v>
      </c>
      <c r="E60" s="170">
        <v>2.17</v>
      </c>
      <c r="F60" s="170">
        <v>2.17</v>
      </c>
      <c r="G60" s="169" t="s">
        <v>277</v>
      </c>
      <c r="H60" s="170">
        <v>7.0000000000000001E-3</v>
      </c>
      <c r="I60" s="170">
        <v>8.0000000000000004E-4</v>
      </c>
      <c r="J60" s="170" t="s">
        <v>467</v>
      </c>
      <c r="K60" s="170" t="s">
        <v>454</v>
      </c>
      <c r="L60" s="170">
        <v>4.0000000000000002E-4</v>
      </c>
      <c r="M60" s="169" t="s">
        <v>277</v>
      </c>
    </row>
    <row r="61" spans="1:13" ht="11.25" customHeight="1">
      <c r="A61" s="168" t="s">
        <v>468</v>
      </c>
      <c r="B61" s="169" t="s">
        <v>277</v>
      </c>
      <c r="C61" s="169" t="s">
        <v>277</v>
      </c>
      <c r="D61" s="170">
        <v>24.5</v>
      </c>
      <c r="E61" s="170">
        <v>23.7</v>
      </c>
      <c r="F61" s="170">
        <v>6.5</v>
      </c>
      <c r="G61" s="169" t="s">
        <v>277</v>
      </c>
      <c r="H61" s="169" t="s">
        <v>277</v>
      </c>
      <c r="I61" s="169" t="s">
        <v>277</v>
      </c>
      <c r="J61" s="170">
        <v>0.09</v>
      </c>
      <c r="K61" s="170">
        <v>6.2E-2</v>
      </c>
      <c r="L61" s="170">
        <v>0.25</v>
      </c>
      <c r="M61" s="169" t="s">
        <v>277</v>
      </c>
    </row>
    <row r="62" spans="1:13" ht="11.25" customHeight="1">
      <c r="A62" s="168" t="s">
        <v>469</v>
      </c>
      <c r="B62" s="169" t="s">
        <v>277</v>
      </c>
      <c r="C62" s="169" t="s">
        <v>277</v>
      </c>
      <c r="D62" s="170">
        <v>41</v>
      </c>
      <c r="E62" s="170">
        <v>41</v>
      </c>
      <c r="F62" s="170">
        <v>12</v>
      </c>
      <c r="G62" s="169" t="s">
        <v>277</v>
      </c>
      <c r="H62" s="169" t="s">
        <v>277</v>
      </c>
      <c r="I62" s="169" t="s">
        <v>277</v>
      </c>
      <c r="J62" s="170">
        <v>-0.03</v>
      </c>
      <c r="K62" s="170">
        <v>4.4999999999999998E-2</v>
      </c>
      <c r="L62" s="170">
        <v>1</v>
      </c>
      <c r="M62" s="169" t="s">
        <v>277</v>
      </c>
    </row>
    <row r="63" spans="1:13" ht="11.25" customHeight="1">
      <c r="A63" s="168" t="s">
        <v>470</v>
      </c>
      <c r="B63" s="169" t="s">
        <v>277</v>
      </c>
      <c r="C63" s="169" t="s">
        <v>277</v>
      </c>
      <c r="D63" s="170">
        <v>2.08</v>
      </c>
      <c r="E63" s="170">
        <v>2.08</v>
      </c>
      <c r="F63" s="170">
        <v>2.04</v>
      </c>
      <c r="G63" s="169" t="s">
        <v>277</v>
      </c>
      <c r="H63" s="169" t="s">
        <v>277</v>
      </c>
      <c r="I63" s="169" t="s">
        <v>277</v>
      </c>
      <c r="J63" s="170">
        <v>1E-4</v>
      </c>
      <c r="K63" s="169" t="s">
        <v>277</v>
      </c>
      <c r="L63" s="170">
        <v>5.4999999999999997E-3</v>
      </c>
      <c r="M63" s="169" t="s">
        <v>277</v>
      </c>
    </row>
    <row r="64" spans="1:13" ht="11.25" customHeight="1">
      <c r="A64" s="168" t="s">
        <v>471</v>
      </c>
      <c r="B64" s="169" t="s">
        <v>277</v>
      </c>
      <c r="C64" s="169" t="s">
        <v>277</v>
      </c>
      <c r="D64" s="170">
        <v>31</v>
      </c>
      <c r="E64" s="170">
        <v>31</v>
      </c>
      <c r="F64" s="170">
        <v>23.9</v>
      </c>
      <c r="G64" s="169" t="s">
        <v>277</v>
      </c>
      <c r="H64" s="169" t="s">
        <v>277</v>
      </c>
      <c r="I64" s="169" t="s">
        <v>277</v>
      </c>
      <c r="J64" s="170">
        <v>0.2</v>
      </c>
      <c r="K64" s="170">
        <v>3.7999999999999999E-2</v>
      </c>
      <c r="L64" s="170">
        <v>0.64</v>
      </c>
      <c r="M64" s="169" t="s">
        <v>277</v>
      </c>
    </row>
    <row r="65" spans="1:13" ht="11.25" customHeight="1">
      <c r="A65" s="168" t="s">
        <v>472</v>
      </c>
      <c r="B65" s="170">
        <v>2.78</v>
      </c>
      <c r="C65" s="170">
        <v>2.78</v>
      </c>
      <c r="D65" s="170">
        <v>2.78</v>
      </c>
      <c r="E65" s="169" t="s">
        <v>277</v>
      </c>
      <c r="F65" s="170">
        <v>2.74</v>
      </c>
      <c r="G65" s="170"/>
      <c r="H65" s="170">
        <v>1E-4</v>
      </c>
      <c r="I65" s="170">
        <v>8.0000000000000007E-5</v>
      </c>
      <c r="J65" s="170" t="s">
        <v>434</v>
      </c>
      <c r="K65" s="169" t="s">
        <v>277</v>
      </c>
      <c r="L65" s="170">
        <v>9.5999999999999992E-3</v>
      </c>
      <c r="M65" s="169" t="s">
        <v>277</v>
      </c>
    </row>
    <row r="66" spans="1:13" ht="11.25" customHeight="1">
      <c r="A66" s="168" t="s">
        <v>473</v>
      </c>
      <c r="B66" s="170">
        <v>2.4</v>
      </c>
      <c r="C66" s="170">
        <v>2.4</v>
      </c>
      <c r="D66" s="170">
        <v>2.4</v>
      </c>
      <c r="E66" s="170">
        <v>2.4</v>
      </c>
      <c r="F66" s="170">
        <v>2.4</v>
      </c>
      <c r="G66" s="170">
        <v>2.4</v>
      </c>
      <c r="H66" s="170">
        <v>0.01</v>
      </c>
      <c r="I66" s="170">
        <v>5.0000000000000001E-3</v>
      </c>
      <c r="J66" s="170" t="s">
        <v>434</v>
      </c>
      <c r="K66" s="169" t="s">
        <v>277</v>
      </c>
      <c r="L66" s="170">
        <v>2E-3</v>
      </c>
      <c r="M66" s="169" t="s">
        <v>277</v>
      </c>
    </row>
    <row r="67" spans="1:13" ht="11.25" customHeight="1">
      <c r="A67" s="168" t="s">
        <v>474</v>
      </c>
      <c r="B67" s="170">
        <v>2.2200000000000002</v>
      </c>
      <c r="C67" s="170">
        <v>2.2200000000000002</v>
      </c>
      <c r="D67" s="170">
        <v>2.2200000000000002</v>
      </c>
      <c r="E67" s="170">
        <v>2.2000000000000002</v>
      </c>
      <c r="F67" s="170">
        <v>2.1800000000000002</v>
      </c>
      <c r="G67" s="169" t="s">
        <v>277</v>
      </c>
      <c r="H67" s="170">
        <v>1E-3</v>
      </c>
      <c r="I67" s="170" t="s">
        <v>475</v>
      </c>
      <c r="J67" s="170" t="s">
        <v>461</v>
      </c>
      <c r="K67" s="170">
        <v>4.7999999999999996E-3</v>
      </c>
      <c r="L67" s="170">
        <v>2.8E-3</v>
      </c>
      <c r="M67" s="169" t="s">
        <v>277</v>
      </c>
    </row>
    <row r="68" spans="1:13" ht="11.25" customHeight="1">
      <c r="A68" s="168" t="s">
        <v>476</v>
      </c>
      <c r="B68" s="170">
        <v>2.16</v>
      </c>
      <c r="C68" s="170">
        <v>2.16</v>
      </c>
      <c r="D68" s="170">
        <v>2.16</v>
      </c>
      <c r="E68" s="170">
        <v>2.16</v>
      </c>
      <c r="F68" s="170">
        <v>2.16</v>
      </c>
      <c r="G68" s="169" t="s">
        <v>277</v>
      </c>
      <c r="H68" s="170">
        <v>4.0000000000000002E-4</v>
      </c>
      <c r="I68" s="170">
        <v>2.0000000000000001E-4</v>
      </c>
      <c r="J68" s="170" t="s">
        <v>455</v>
      </c>
      <c r="K68" s="170" t="s">
        <v>477</v>
      </c>
      <c r="L68" s="170">
        <v>6.6E-4</v>
      </c>
      <c r="M68" s="169" t="s">
        <v>277</v>
      </c>
    </row>
    <row r="69" spans="1:13" ht="11.25" customHeight="1">
      <c r="A69" s="210" t="s">
        <v>478</v>
      </c>
      <c r="B69" s="170"/>
      <c r="C69" s="170"/>
      <c r="D69" s="170"/>
      <c r="E69" s="170"/>
      <c r="F69" s="170"/>
      <c r="G69" s="170"/>
      <c r="H69" s="170"/>
      <c r="I69" s="170"/>
      <c r="J69" s="170"/>
      <c r="K69" s="170"/>
      <c r="L69" s="170"/>
      <c r="M69" s="170"/>
    </row>
    <row r="70" spans="1:13" ht="11.25" customHeight="1">
      <c r="A70" s="168" t="s">
        <v>479</v>
      </c>
      <c r="B70" s="170">
        <v>2.76</v>
      </c>
      <c r="C70" s="170">
        <v>2.66</v>
      </c>
      <c r="D70" s="170">
        <v>2.5299999999999998</v>
      </c>
      <c r="E70" s="170">
        <v>2.4500000000000002</v>
      </c>
      <c r="F70" s="170">
        <v>2.39</v>
      </c>
      <c r="G70" s="169" t="s">
        <v>277</v>
      </c>
      <c r="H70" s="169" t="s">
        <v>277</v>
      </c>
      <c r="I70" s="170">
        <v>1.4E-2</v>
      </c>
      <c r="J70" s="170">
        <v>9.1999999999999998E-3</v>
      </c>
      <c r="K70" s="170">
        <v>8.9999999999999993E-3</v>
      </c>
      <c r="L70" s="170">
        <v>7.4999999999999997E-3</v>
      </c>
      <c r="M70" s="169" t="s">
        <v>277</v>
      </c>
    </row>
    <row r="71" spans="1:13" ht="11.25" customHeight="1">
      <c r="A71" s="168" t="s">
        <v>480</v>
      </c>
      <c r="B71" s="170">
        <v>3.14</v>
      </c>
      <c r="C71" s="170">
        <v>3.04</v>
      </c>
      <c r="D71" s="170">
        <v>2.98</v>
      </c>
      <c r="E71" s="170">
        <v>2.93</v>
      </c>
      <c r="F71" s="170">
        <v>2.89</v>
      </c>
      <c r="G71" s="169" t="s">
        <v>277</v>
      </c>
      <c r="H71" s="170">
        <v>0.1</v>
      </c>
      <c r="I71" s="170">
        <v>1.0999999999999999E-2</v>
      </c>
      <c r="J71" s="170">
        <v>2.9999999999999997E-4</v>
      </c>
      <c r="K71" s="170">
        <v>1.6999999999999999E-3</v>
      </c>
      <c r="L71" s="170">
        <v>3.7000000000000002E-3</v>
      </c>
      <c r="M71" s="169" t="s">
        <v>277</v>
      </c>
    </row>
    <row r="72" spans="1:13" ht="11.25" customHeight="1">
      <c r="A72" s="168" t="s">
        <v>481</v>
      </c>
      <c r="B72" s="170">
        <v>2.34</v>
      </c>
      <c r="C72" s="170">
        <v>2.34</v>
      </c>
      <c r="D72" s="170">
        <v>2.34</v>
      </c>
      <c r="E72" s="170">
        <v>2.2999999999999998</v>
      </c>
      <c r="F72" s="170">
        <v>2.27</v>
      </c>
      <c r="G72" s="169" t="s">
        <v>277</v>
      </c>
      <c r="H72" s="170">
        <v>2.0000000000000001E-4</v>
      </c>
      <c r="I72" s="170">
        <v>2.9999999999999997E-4</v>
      </c>
      <c r="J72" s="170">
        <v>1.33E-3</v>
      </c>
      <c r="K72" s="170">
        <v>1.33E-3</v>
      </c>
      <c r="L72" s="170">
        <v>8.9999999999999998E-4</v>
      </c>
      <c r="M72" s="169" t="s">
        <v>277</v>
      </c>
    </row>
    <row r="73" spans="1:13" ht="11.25" customHeight="1">
      <c r="A73" s="168" t="s">
        <v>482</v>
      </c>
      <c r="B73" s="170">
        <v>2.2999999999999998</v>
      </c>
      <c r="C73" s="170">
        <v>2.2999999999999998</v>
      </c>
      <c r="D73" s="170">
        <v>2.2999999999999998</v>
      </c>
      <c r="E73" s="170">
        <v>2.2999999999999998</v>
      </c>
      <c r="F73" s="170">
        <v>2.25</v>
      </c>
      <c r="G73" s="169" t="s">
        <v>277</v>
      </c>
      <c r="H73" s="170">
        <v>8.9999999999999998E-4</v>
      </c>
      <c r="I73" s="170">
        <v>5.9999999999999995E-4</v>
      </c>
      <c r="J73" s="170">
        <v>4.0000000000000002E-4</v>
      </c>
      <c r="K73" s="170">
        <v>4.0000000000000002E-4</v>
      </c>
      <c r="L73" s="170">
        <v>4.6000000000000001E-4</v>
      </c>
      <c r="M73" s="169" t="s">
        <v>277</v>
      </c>
    </row>
    <row r="74" spans="1:13" ht="11.25" customHeight="1">
      <c r="A74" s="210" t="s">
        <v>483</v>
      </c>
      <c r="B74" s="170"/>
      <c r="C74" s="170"/>
      <c r="D74" s="170"/>
      <c r="E74" s="170"/>
      <c r="F74" s="170"/>
      <c r="G74" s="170"/>
      <c r="H74" s="170"/>
      <c r="I74" s="170"/>
      <c r="J74" s="170"/>
      <c r="K74" s="170"/>
      <c r="L74" s="170"/>
      <c r="M74" s="170"/>
    </row>
    <row r="75" spans="1:13" ht="11.25" customHeight="1">
      <c r="A75" s="168" t="s">
        <v>484</v>
      </c>
      <c r="B75" s="170">
        <v>2.39</v>
      </c>
      <c r="C75" s="170">
        <v>2.38</v>
      </c>
      <c r="D75" s="170">
        <v>2.35</v>
      </c>
      <c r="E75" s="170">
        <v>2.35</v>
      </c>
      <c r="F75" s="170">
        <v>2.35</v>
      </c>
      <c r="G75" s="169" t="s">
        <v>277</v>
      </c>
      <c r="H75" s="170">
        <v>3.3999999999999998E-3</v>
      </c>
      <c r="I75" s="170">
        <v>3.5000000000000001E-3</v>
      </c>
      <c r="J75" s="170">
        <v>1E-3</v>
      </c>
      <c r="K75" s="170">
        <v>1E-3</v>
      </c>
      <c r="L75" s="170">
        <v>8.9999999999999998E-4</v>
      </c>
      <c r="M75" s="169" t="s">
        <v>277</v>
      </c>
    </row>
    <row r="76" spans="1:13" ht="11.25" customHeight="1">
      <c r="A76" s="168" t="s">
        <v>485</v>
      </c>
      <c r="B76" s="170">
        <v>2.96</v>
      </c>
      <c r="C76" s="170">
        <v>2.96</v>
      </c>
      <c r="D76" s="170">
        <v>2.9</v>
      </c>
      <c r="E76" s="170">
        <v>2.82</v>
      </c>
      <c r="F76" s="170">
        <v>2.75</v>
      </c>
      <c r="G76" s="169" t="s">
        <v>277</v>
      </c>
      <c r="H76" s="170">
        <v>8.0000000000000004E-4</v>
      </c>
      <c r="I76" s="170">
        <v>2.3999999999999998E-3</v>
      </c>
      <c r="J76" s="170">
        <v>1.2E-2</v>
      </c>
      <c r="K76" s="170">
        <v>8.0000000000000002E-3</v>
      </c>
      <c r="L76" s="170">
        <v>5.7000000000000002E-3</v>
      </c>
      <c r="M76" s="169" t="s">
        <v>277</v>
      </c>
    </row>
    <row r="77" spans="1:13" ht="11.25" customHeight="1">
      <c r="A77" s="168" t="s">
        <v>486</v>
      </c>
      <c r="B77" s="170">
        <v>2.61</v>
      </c>
      <c r="C77" s="170">
        <v>2.6</v>
      </c>
      <c r="D77" s="170">
        <v>2.5299999999999998</v>
      </c>
      <c r="E77" s="170">
        <v>2.4700000000000002</v>
      </c>
      <c r="F77" s="170">
        <v>2.4</v>
      </c>
      <c r="G77" s="169" t="s">
        <v>277</v>
      </c>
      <c r="H77" s="170">
        <v>5.0000000000000001E-4</v>
      </c>
      <c r="I77" s="170">
        <v>4.0000000000000002E-4</v>
      </c>
      <c r="J77" s="170">
        <v>4.1999999999999997E-3</v>
      </c>
      <c r="K77" s="170">
        <v>1.2E-2</v>
      </c>
      <c r="L77" s="170">
        <v>6.0000000000000001E-3</v>
      </c>
      <c r="M77" s="169" t="s">
        <v>277</v>
      </c>
    </row>
    <row r="78" spans="1:13" ht="11.25" customHeight="1">
      <c r="A78" s="168" t="s">
        <v>487</v>
      </c>
      <c r="B78" s="170">
        <v>2.4</v>
      </c>
      <c r="C78" s="170">
        <v>2.4</v>
      </c>
      <c r="D78" s="170">
        <v>2.4</v>
      </c>
      <c r="E78" s="170">
        <v>2.4</v>
      </c>
      <c r="F78" s="170">
        <v>2.15</v>
      </c>
      <c r="G78" s="169" t="s">
        <v>277</v>
      </c>
      <c r="H78" s="170">
        <v>3.0000000000000001E-3</v>
      </c>
      <c r="I78" s="170">
        <v>1.8E-3</v>
      </c>
      <c r="J78" s="170">
        <v>1.8E-3</v>
      </c>
      <c r="K78" s="170">
        <v>5.0000000000000001E-3</v>
      </c>
      <c r="L78" s="170">
        <v>3.0000000000000001E-3</v>
      </c>
      <c r="M78" s="169" t="s">
        <v>277</v>
      </c>
    </row>
    <row r="79" spans="1:13" ht="11.25" customHeight="1">
      <c r="A79" s="168" t="s">
        <v>488</v>
      </c>
      <c r="B79" s="170">
        <v>2.94</v>
      </c>
      <c r="C79" s="170">
        <v>2.94</v>
      </c>
      <c r="D79" s="170">
        <v>2.74</v>
      </c>
      <c r="E79" s="170">
        <v>2.42</v>
      </c>
      <c r="F79" s="170">
        <v>2.36</v>
      </c>
      <c r="G79" s="169" t="s">
        <v>277</v>
      </c>
      <c r="H79" s="170">
        <v>5.0000000000000001E-3</v>
      </c>
      <c r="I79" s="170">
        <v>2.3999999999999998E-3</v>
      </c>
      <c r="J79" s="170">
        <v>4.4600000000000001E-2</v>
      </c>
      <c r="K79" s="170">
        <v>1.7999999999999999E-2</v>
      </c>
      <c r="L79" s="170">
        <v>4.7000000000000002E-3</v>
      </c>
      <c r="M79" s="169" t="s">
        <v>277</v>
      </c>
    </row>
    <row r="80" spans="1:13" ht="11.25" customHeight="1">
      <c r="A80" s="168" t="s">
        <v>489</v>
      </c>
      <c r="B80" s="170">
        <v>6.7</v>
      </c>
      <c r="C80" s="170">
        <v>6.6</v>
      </c>
      <c r="D80" s="170">
        <v>6.26</v>
      </c>
      <c r="E80" s="170">
        <v>4.5</v>
      </c>
      <c r="F80" s="170">
        <v>4</v>
      </c>
      <c r="G80" s="170">
        <v>4</v>
      </c>
      <c r="H80" s="170">
        <v>1.7999999999999999E-2</v>
      </c>
      <c r="I80" s="170">
        <v>1.0999999999999999E-2</v>
      </c>
      <c r="J80" s="170">
        <v>3.7999999999999999E-2</v>
      </c>
      <c r="K80" s="170">
        <v>0.09</v>
      </c>
      <c r="L80" s="170">
        <v>3.4000000000000002E-2</v>
      </c>
      <c r="M80" s="170">
        <v>2.5000000000000001E-2</v>
      </c>
    </row>
    <row r="81" spans="1:13" ht="11.25" customHeight="1">
      <c r="A81" s="168" t="s">
        <v>490</v>
      </c>
      <c r="B81" s="169" t="s">
        <v>277</v>
      </c>
      <c r="C81" s="170">
        <v>2260</v>
      </c>
      <c r="D81" s="170">
        <v>110</v>
      </c>
      <c r="E81" s="170">
        <v>30</v>
      </c>
      <c r="F81" s="170">
        <v>16</v>
      </c>
      <c r="G81" s="170">
        <v>13.6</v>
      </c>
      <c r="H81" s="169" t="s">
        <v>277</v>
      </c>
      <c r="I81" s="170">
        <v>1.29</v>
      </c>
      <c r="J81" s="170">
        <v>0.39</v>
      </c>
      <c r="K81" s="170">
        <v>0.28000000000000003</v>
      </c>
      <c r="L81" s="170">
        <v>0.22</v>
      </c>
      <c r="M81" s="170">
        <v>0.1</v>
      </c>
    </row>
    <row r="82" spans="1:13" ht="11.25" customHeight="1">
      <c r="A82" s="168" t="s">
        <v>491</v>
      </c>
      <c r="B82" s="169" t="s">
        <v>277</v>
      </c>
      <c r="C82" s="170">
        <v>3.35</v>
      </c>
      <c r="D82" s="170">
        <v>3.2</v>
      </c>
      <c r="E82" s="170">
        <v>3.16</v>
      </c>
      <c r="F82" s="170">
        <v>3.13</v>
      </c>
      <c r="G82" s="169" t="s">
        <v>277</v>
      </c>
      <c r="H82" s="169" t="s">
        <v>277</v>
      </c>
      <c r="I82" s="170">
        <v>6.7000000000000002E-3</v>
      </c>
      <c r="J82" s="170">
        <v>3.0000000000000001E-3</v>
      </c>
      <c r="K82" s="170">
        <v>3.2000000000000002E-3</v>
      </c>
      <c r="L82" s="170">
        <v>9.7000000000000003E-3</v>
      </c>
      <c r="M82" s="169" t="s">
        <v>277</v>
      </c>
    </row>
    <row r="83" spans="1:13" ht="11.25" customHeight="1">
      <c r="A83" s="210" t="s">
        <v>492</v>
      </c>
      <c r="B83" s="170"/>
      <c r="C83" s="170"/>
      <c r="D83" s="170"/>
      <c r="E83" s="170"/>
      <c r="F83" s="170"/>
      <c r="G83" s="170"/>
      <c r="H83" s="170"/>
      <c r="I83" s="170"/>
      <c r="J83" s="170"/>
      <c r="K83" s="170"/>
      <c r="L83" s="170"/>
      <c r="M83" s="170"/>
    </row>
    <row r="84" spans="1:13" ht="11.25" customHeight="1">
      <c r="A84" s="168" t="s">
        <v>493</v>
      </c>
      <c r="B84" s="170">
        <v>1.4</v>
      </c>
      <c r="C84" s="170">
        <v>1.4</v>
      </c>
      <c r="D84" s="170">
        <v>1.37</v>
      </c>
      <c r="E84" s="170">
        <v>1.3</v>
      </c>
      <c r="F84" s="170">
        <v>1.22</v>
      </c>
      <c r="G84" s="169" t="s">
        <v>277</v>
      </c>
      <c r="H84" s="170">
        <v>5.8000000000000003E-2</v>
      </c>
      <c r="I84" s="170">
        <v>4.0000000000000001E-3</v>
      </c>
      <c r="J84" s="170">
        <v>1.2E-2</v>
      </c>
      <c r="K84" s="170">
        <v>1.35E-2</v>
      </c>
      <c r="L84" s="170">
        <v>0.1</v>
      </c>
      <c r="M84" s="169" t="s">
        <v>277</v>
      </c>
    </row>
    <row r="85" spans="1:13" ht="11.25" customHeight="1">
      <c r="A85" s="168" t="s">
        <v>494</v>
      </c>
      <c r="B85" s="170">
        <v>2.0499999999999998</v>
      </c>
      <c r="C85" s="170">
        <v>2</v>
      </c>
      <c r="D85" s="170">
        <v>1.93</v>
      </c>
      <c r="E85" s="170">
        <v>1.88</v>
      </c>
      <c r="F85" s="170">
        <v>1.82</v>
      </c>
      <c r="G85" s="170">
        <v>1.78</v>
      </c>
      <c r="H85" s="170">
        <v>4.0000000000000001E-3</v>
      </c>
      <c r="I85" s="170">
        <v>8.0000000000000002E-3</v>
      </c>
      <c r="J85" s="170">
        <v>2.5999999999999999E-2</v>
      </c>
      <c r="K85" s="170">
        <v>3.3000000000000002E-2</v>
      </c>
      <c r="L85" s="170">
        <v>2.7E-2</v>
      </c>
      <c r="M85" s="170">
        <v>3.2000000000000001E-2</v>
      </c>
    </row>
    <row r="86" spans="1:13" ht="11.25" customHeight="1">
      <c r="A86" s="168" t="s">
        <v>495</v>
      </c>
      <c r="B86" s="170">
        <v>2.1</v>
      </c>
      <c r="C86" s="170">
        <v>2.1</v>
      </c>
      <c r="D86" s="170">
        <v>1.9</v>
      </c>
      <c r="E86" s="169" t="s">
        <v>277</v>
      </c>
      <c r="F86" s="169" t="s">
        <v>277</v>
      </c>
      <c r="G86" s="170">
        <v>1.6</v>
      </c>
      <c r="H86" s="170">
        <v>1.2E-2</v>
      </c>
      <c r="I86" s="170">
        <v>1.0500000000000001E-2</v>
      </c>
      <c r="J86" s="170">
        <v>2.3E-2</v>
      </c>
      <c r="K86" s="169" t="s">
        <v>277</v>
      </c>
      <c r="L86" s="169" t="s">
        <v>277</v>
      </c>
      <c r="M86" s="170">
        <v>2.1999999999999999E-2</v>
      </c>
    </row>
    <row r="87" spans="1:13" ht="11.25" customHeight="1">
      <c r="A87" s="168" t="s">
        <v>496</v>
      </c>
      <c r="B87" s="170">
        <v>2.42</v>
      </c>
      <c r="C87" s="170">
        <v>2.4</v>
      </c>
      <c r="D87" s="170">
        <v>2.25</v>
      </c>
      <c r="E87" s="170">
        <v>2.0699999999999998</v>
      </c>
      <c r="F87" s="170">
        <v>1.88</v>
      </c>
      <c r="G87" s="170">
        <v>1.6</v>
      </c>
      <c r="H87" s="170">
        <v>8.0000000000000002E-3</v>
      </c>
      <c r="I87" s="170">
        <v>1.2E-2</v>
      </c>
      <c r="J87" s="170">
        <v>2.5000000000000001E-2</v>
      </c>
      <c r="K87" s="170">
        <v>3.2000000000000001E-2</v>
      </c>
      <c r="L87" s="170">
        <v>2.5000000000000001E-2</v>
      </c>
      <c r="M87" s="170">
        <v>0.02</v>
      </c>
    </row>
    <row r="88" spans="1:13" ht="11.25" customHeight="1">
      <c r="A88" s="168" t="s">
        <v>497</v>
      </c>
      <c r="B88" s="170">
        <v>2.9</v>
      </c>
      <c r="C88" s="170">
        <v>2.88</v>
      </c>
      <c r="D88" s="170">
        <v>2.7</v>
      </c>
      <c r="E88" s="170">
        <v>2.4700000000000002</v>
      </c>
      <c r="F88" s="170">
        <v>2.13</v>
      </c>
      <c r="G88" s="170">
        <v>1.87</v>
      </c>
      <c r="H88" s="170">
        <v>7.0000000000000001E-3</v>
      </c>
      <c r="I88" s="170">
        <v>8.9999999999999993E-3</v>
      </c>
      <c r="J88" s="170">
        <v>2.9000000000000001E-2</v>
      </c>
      <c r="K88" s="170">
        <v>0.04</v>
      </c>
      <c r="L88" s="170">
        <v>3.3000000000000002E-2</v>
      </c>
      <c r="M88" s="170">
        <v>2.5999999999999999E-2</v>
      </c>
    </row>
    <row r="89" spans="1:13" ht="11.25" customHeight="1">
      <c r="A89" s="168" t="s">
        <v>498</v>
      </c>
      <c r="B89" s="170">
        <v>1.85</v>
      </c>
      <c r="C89" s="170">
        <v>1.79</v>
      </c>
      <c r="D89" s="170">
        <v>1.75</v>
      </c>
      <c r="E89" s="169" t="s">
        <v>277</v>
      </c>
      <c r="F89" s="170">
        <v>1.5</v>
      </c>
      <c r="G89" s="170">
        <v>1.4</v>
      </c>
      <c r="H89" s="170">
        <v>4.0000000000000001E-3</v>
      </c>
      <c r="I89" s="170">
        <v>5.4000000000000003E-3</v>
      </c>
      <c r="J89" s="170">
        <v>1.9E-2</v>
      </c>
      <c r="K89" s="169" t="s">
        <v>277</v>
      </c>
      <c r="L89" s="170">
        <v>1.4999999999999999E-2</v>
      </c>
      <c r="M89" s="170">
        <v>1.7000000000000001E-2</v>
      </c>
    </row>
    <row r="90" spans="1:13" ht="11.25" customHeight="1">
      <c r="A90" s="210" t="s">
        <v>499</v>
      </c>
      <c r="B90" s="170"/>
      <c r="C90" s="170"/>
      <c r="D90" s="170"/>
      <c r="E90" s="170"/>
      <c r="F90" s="170"/>
      <c r="G90" s="170"/>
      <c r="H90" s="170"/>
      <c r="I90" s="170"/>
      <c r="J90" s="170"/>
      <c r="K90" s="170"/>
      <c r="L90" s="170"/>
      <c r="M90" s="170"/>
    </row>
    <row r="91" spans="1:13" ht="11.25" customHeight="1">
      <c r="A91" s="168" t="s">
        <v>500</v>
      </c>
      <c r="B91" s="170">
        <v>2.7</v>
      </c>
      <c r="C91" s="170">
        <v>2.7</v>
      </c>
      <c r="D91" s="170">
        <v>2.65</v>
      </c>
      <c r="E91" s="169" t="s">
        <v>277</v>
      </c>
      <c r="F91" s="170">
        <v>2.6</v>
      </c>
      <c r="G91" s="169" t="s">
        <v>277</v>
      </c>
      <c r="H91" s="170">
        <v>1E-3</v>
      </c>
      <c r="I91" s="170">
        <v>1.8E-3</v>
      </c>
      <c r="J91" s="170">
        <v>5.5999999999999999E-3</v>
      </c>
      <c r="K91" s="169" t="s">
        <v>277</v>
      </c>
      <c r="L91" s="170">
        <v>8.9999999999999993E-3</v>
      </c>
      <c r="M91" s="169" t="s">
        <v>277</v>
      </c>
    </row>
    <row r="92" spans="1:13" ht="11.25" customHeight="1">
      <c r="A92" s="168" t="s">
        <v>501</v>
      </c>
      <c r="B92" s="170">
        <v>3.95</v>
      </c>
      <c r="C92" s="170">
        <v>3.75</v>
      </c>
      <c r="D92" s="170">
        <v>3.23</v>
      </c>
      <c r="E92" s="169" t="s">
        <v>277</v>
      </c>
      <c r="F92" s="170">
        <v>2.96</v>
      </c>
      <c r="G92" s="169" t="s">
        <v>277</v>
      </c>
      <c r="H92" s="170">
        <v>4.9000000000000002E-2</v>
      </c>
      <c r="I92" s="170">
        <v>3.3500000000000002E-2</v>
      </c>
      <c r="J92" s="170">
        <v>2.4E-2</v>
      </c>
      <c r="K92" s="169" t="s">
        <v>277</v>
      </c>
      <c r="L92" s="170">
        <v>2.1000000000000001E-2</v>
      </c>
      <c r="M92" s="169" t="s">
        <v>277</v>
      </c>
    </row>
    <row r="93" spans="1:13" ht="11.25" customHeight="1">
      <c r="A93" s="168" t="s">
        <v>502</v>
      </c>
      <c r="B93" s="170">
        <v>2.69</v>
      </c>
      <c r="C93" s="170">
        <v>2.66</v>
      </c>
      <c r="D93" s="170">
        <v>2.58</v>
      </c>
      <c r="E93" s="170">
        <v>2.56</v>
      </c>
      <c r="F93" s="169" t="s">
        <v>277</v>
      </c>
      <c r="G93" s="169" t="s">
        <v>277</v>
      </c>
      <c r="H93" s="170">
        <v>6.0000000000000001E-3</v>
      </c>
      <c r="I93" s="170">
        <v>3.5000000000000001E-3</v>
      </c>
      <c r="J93" s="170">
        <v>1.6000000000000001E-3</v>
      </c>
      <c r="K93" s="170">
        <v>1.1000000000000001E-3</v>
      </c>
      <c r="L93" s="169" t="s">
        <v>277</v>
      </c>
      <c r="M93" s="169" t="s">
        <v>277</v>
      </c>
    </row>
    <row r="94" spans="1:13" ht="11.25" customHeight="1">
      <c r="A94" s="168" t="s">
        <v>503</v>
      </c>
      <c r="B94" s="170">
        <v>3.87</v>
      </c>
      <c r="C94" s="170">
        <v>3.81</v>
      </c>
      <c r="D94" s="170">
        <v>3.47</v>
      </c>
      <c r="E94" s="170">
        <v>3.1</v>
      </c>
      <c r="F94" s="170">
        <v>2.86</v>
      </c>
      <c r="G94" s="169" t="s">
        <v>277</v>
      </c>
      <c r="H94" s="170">
        <v>6.0000000000000001E-3</v>
      </c>
      <c r="I94" s="170">
        <v>7.4000000000000003E-3</v>
      </c>
      <c r="J94" s="170">
        <v>3.1E-2</v>
      </c>
      <c r="K94" s="170">
        <v>0.03</v>
      </c>
      <c r="L94" s="170">
        <v>2.5399999999999999E-2</v>
      </c>
      <c r="M94" s="169" t="s">
        <v>277</v>
      </c>
    </row>
    <row r="95" spans="1:13" ht="11.25" customHeight="1">
      <c r="A95" s="168" t="s">
        <v>504</v>
      </c>
      <c r="B95" s="169" t="s">
        <v>277</v>
      </c>
      <c r="C95" s="170">
        <v>7.45</v>
      </c>
      <c r="D95" s="170">
        <v>7.39</v>
      </c>
      <c r="E95" s="169" t="s">
        <v>277</v>
      </c>
      <c r="F95" s="169" t="s">
        <v>277</v>
      </c>
      <c r="G95" s="169" t="s">
        <v>277</v>
      </c>
      <c r="H95" s="169" t="s">
        <v>277</v>
      </c>
      <c r="I95" s="170">
        <v>1.9E-3</v>
      </c>
      <c r="J95" s="170">
        <v>1.2999999999999999E-3</v>
      </c>
      <c r="K95" s="169" t="s">
        <v>277</v>
      </c>
      <c r="L95" s="169" t="s">
        <v>277</v>
      </c>
      <c r="M95" s="169" t="s">
        <v>277</v>
      </c>
    </row>
    <row r="96" spans="1:13" ht="11.25" customHeight="1">
      <c r="A96" s="168" t="s">
        <v>505</v>
      </c>
      <c r="B96" s="169" t="s">
        <v>277</v>
      </c>
      <c r="C96" s="170">
        <v>9.3000000000000007</v>
      </c>
      <c r="D96" s="170">
        <v>9</v>
      </c>
      <c r="E96" s="169" t="s">
        <v>277</v>
      </c>
      <c r="F96" s="169" t="s">
        <v>277</v>
      </c>
      <c r="G96" s="169" t="s">
        <v>277</v>
      </c>
      <c r="H96" s="169" t="s">
        <v>277</v>
      </c>
      <c r="I96" s="170">
        <v>0.125</v>
      </c>
      <c r="J96" s="170">
        <v>2.5999999999999999E-3</v>
      </c>
      <c r="K96" s="169" t="s">
        <v>277</v>
      </c>
      <c r="L96" s="170">
        <v>4.0000000000000001E-3</v>
      </c>
      <c r="M96" s="169" t="s">
        <v>277</v>
      </c>
    </row>
    <row r="97" spans="1:13" ht="11.25" customHeight="1">
      <c r="A97" s="168" t="s">
        <v>506</v>
      </c>
      <c r="B97" s="170">
        <v>5.4</v>
      </c>
      <c r="C97" s="170">
        <v>5.4</v>
      </c>
      <c r="D97" s="170">
        <v>5.4</v>
      </c>
      <c r="E97" s="170">
        <v>5.4</v>
      </c>
      <c r="F97" s="170">
        <v>5.4</v>
      </c>
      <c r="G97" s="169" t="s">
        <v>277</v>
      </c>
      <c r="H97" s="170">
        <v>5.0000000000000001E-3</v>
      </c>
      <c r="I97" s="170">
        <v>5.9999999999999995E-4</v>
      </c>
      <c r="J97" s="170">
        <v>2.9999999999999997E-4</v>
      </c>
      <c r="K97" s="170">
        <v>2.0000000000000001E-4</v>
      </c>
      <c r="L97" s="170">
        <v>2.9999999999999997E-4</v>
      </c>
      <c r="M97" s="169" t="s">
        <v>277</v>
      </c>
    </row>
    <row r="98" spans="1:13" ht="11.25" customHeight="1">
      <c r="A98" s="168" t="s">
        <v>507</v>
      </c>
      <c r="B98" s="170">
        <v>3.3</v>
      </c>
      <c r="C98" s="170">
        <v>3.29</v>
      </c>
      <c r="D98" s="170">
        <v>2.99</v>
      </c>
      <c r="E98" s="170">
        <v>2.77</v>
      </c>
      <c r="F98" s="170">
        <v>2.7</v>
      </c>
      <c r="G98" s="169" t="s">
        <v>277</v>
      </c>
      <c r="H98" s="170">
        <v>0.01</v>
      </c>
      <c r="I98" s="170">
        <v>7.7000000000000002E-3</v>
      </c>
      <c r="J98" s="170">
        <v>3.7999999999999999E-2</v>
      </c>
      <c r="K98" s="170">
        <v>6.6000000000000003E-2</v>
      </c>
      <c r="L98" s="170">
        <v>5.6000000000000001E-2</v>
      </c>
      <c r="M98" s="169" t="s">
        <v>277</v>
      </c>
    </row>
    <row r="99" spans="1:13" ht="11.25" customHeight="1">
      <c r="A99" s="168" t="s">
        <v>508</v>
      </c>
      <c r="B99" s="169" t="s">
        <v>277</v>
      </c>
      <c r="C99" s="170">
        <v>6</v>
      </c>
      <c r="D99" s="170">
        <v>6</v>
      </c>
      <c r="E99" s="170">
        <v>6</v>
      </c>
      <c r="F99" s="170">
        <v>6</v>
      </c>
      <c r="G99" s="170">
        <v>6</v>
      </c>
      <c r="H99" s="169" t="s">
        <v>277</v>
      </c>
      <c r="I99" s="170">
        <v>4.0000000000000002E-4</v>
      </c>
      <c r="J99" s="170" t="s">
        <v>434</v>
      </c>
      <c r="K99" s="170" t="s">
        <v>454</v>
      </c>
      <c r="L99" s="170">
        <v>1.8000000000000001E-4</v>
      </c>
      <c r="M99" s="170">
        <v>1.2999999999999999E-3</v>
      </c>
    </row>
    <row r="100" spans="1:13" ht="11.25" customHeight="1">
      <c r="A100" s="168" t="s">
        <v>509</v>
      </c>
      <c r="B100" s="169" t="s">
        <v>277</v>
      </c>
      <c r="C100" s="170">
        <v>4.8</v>
      </c>
      <c r="D100" s="170">
        <v>3.1</v>
      </c>
      <c r="E100" s="169" t="s">
        <v>277</v>
      </c>
      <c r="F100" s="169" t="s">
        <v>277</v>
      </c>
      <c r="G100" s="169" t="s">
        <v>277</v>
      </c>
      <c r="H100" s="169" t="s">
        <v>277</v>
      </c>
      <c r="I100" s="170">
        <v>0.15</v>
      </c>
      <c r="J100" s="170">
        <v>2.5000000000000001E-2</v>
      </c>
      <c r="K100" s="169" t="s">
        <v>277</v>
      </c>
      <c r="L100" s="169" t="s">
        <v>277</v>
      </c>
      <c r="M100" s="169" t="s">
        <v>277</v>
      </c>
    </row>
    <row r="101" spans="1:13" ht="11.25" customHeight="1">
      <c r="A101" s="168" t="s">
        <v>510</v>
      </c>
      <c r="B101" s="169" t="s">
        <v>277</v>
      </c>
      <c r="C101" s="170">
        <v>5.9</v>
      </c>
      <c r="D101" s="170">
        <v>5.9</v>
      </c>
      <c r="E101" s="169" t="s">
        <v>277</v>
      </c>
      <c r="F101" s="169" t="s">
        <v>277</v>
      </c>
      <c r="G101" s="169" t="s">
        <v>277</v>
      </c>
      <c r="H101" s="169" t="s">
        <v>277</v>
      </c>
      <c r="I101" s="170" t="s">
        <v>455</v>
      </c>
      <c r="J101" s="170" t="s">
        <v>454</v>
      </c>
      <c r="K101" s="169" t="s">
        <v>277</v>
      </c>
      <c r="L101" s="169" t="s">
        <v>277</v>
      </c>
      <c r="M101" s="170" t="s">
        <v>461</v>
      </c>
    </row>
    <row r="102" spans="1:13" ht="11.25" customHeight="1">
      <c r="A102" s="168" t="s">
        <v>511</v>
      </c>
      <c r="B102" s="169" t="s">
        <v>277</v>
      </c>
      <c r="C102" s="170">
        <v>2.91</v>
      </c>
      <c r="D102" s="170">
        <v>2.59</v>
      </c>
      <c r="E102" s="170">
        <v>2.5499999999999998</v>
      </c>
      <c r="F102" s="170">
        <v>2.5499999999999998</v>
      </c>
      <c r="G102" s="169" t="s">
        <v>277</v>
      </c>
      <c r="H102" s="169" t="s">
        <v>277</v>
      </c>
      <c r="I102" s="170">
        <v>0.08</v>
      </c>
      <c r="J102" s="170">
        <v>1.7000000000000001E-2</v>
      </c>
      <c r="K102" s="169" t="s">
        <v>277</v>
      </c>
      <c r="L102" s="170">
        <v>6.1999999999999998E-3</v>
      </c>
      <c r="M102" s="169" t="s">
        <v>277</v>
      </c>
    </row>
    <row r="103" spans="1:13" ht="11.25" customHeight="1">
      <c r="A103" s="168" t="s">
        <v>512</v>
      </c>
      <c r="B103" s="169" t="s">
        <v>277</v>
      </c>
      <c r="C103" s="170">
        <v>2.83</v>
      </c>
      <c r="D103" s="170">
        <v>2.5299999999999998</v>
      </c>
      <c r="E103" s="170">
        <v>2.48</v>
      </c>
      <c r="F103" s="170">
        <v>2.44</v>
      </c>
      <c r="G103" s="169" t="s">
        <v>277</v>
      </c>
      <c r="H103" s="169" t="s">
        <v>277</v>
      </c>
      <c r="I103" s="170">
        <v>0.05</v>
      </c>
      <c r="J103" s="170">
        <v>1.7999999999999999E-2</v>
      </c>
      <c r="K103" s="169" t="s">
        <v>277</v>
      </c>
      <c r="L103" s="170">
        <v>1.1000000000000001E-3</v>
      </c>
      <c r="M103" s="169" t="s">
        <v>277</v>
      </c>
    </row>
    <row r="104" spans="1:13" ht="11.25" customHeight="1">
      <c r="A104" s="168" t="s">
        <v>513</v>
      </c>
      <c r="B104" s="169" t="s">
        <v>277</v>
      </c>
      <c r="C104" s="169" t="s">
        <v>277</v>
      </c>
      <c r="D104" s="170">
        <v>4.1500000000000004</v>
      </c>
      <c r="E104" s="170">
        <v>3.45</v>
      </c>
      <c r="F104" s="170">
        <v>3.2</v>
      </c>
      <c r="G104" s="169" t="s">
        <v>277</v>
      </c>
      <c r="H104" s="169" t="s">
        <v>277</v>
      </c>
      <c r="I104" s="169" t="s">
        <v>277</v>
      </c>
      <c r="J104" s="170">
        <v>0.12</v>
      </c>
      <c r="K104" s="170">
        <v>3.5000000000000003E-2</v>
      </c>
      <c r="L104" s="170">
        <v>8.9999999999999998E-4</v>
      </c>
      <c r="M104" s="169" t="s">
        <v>277</v>
      </c>
    </row>
    <row r="105" spans="1:13" ht="11.25" customHeight="1">
      <c r="A105" s="168" t="s">
        <v>514</v>
      </c>
      <c r="B105" s="169" t="s">
        <v>277</v>
      </c>
      <c r="C105" s="170">
        <v>3.33</v>
      </c>
      <c r="D105" s="170">
        <v>1.2</v>
      </c>
      <c r="E105" s="170">
        <v>1.2</v>
      </c>
      <c r="F105" s="170">
        <v>1.2</v>
      </c>
      <c r="G105" s="169" t="s">
        <v>277</v>
      </c>
      <c r="H105" s="169" t="s">
        <v>277</v>
      </c>
      <c r="I105" s="170">
        <v>0.49199999999999999</v>
      </c>
      <c r="J105" s="170">
        <v>2.1499999999999998E-2</v>
      </c>
      <c r="K105" s="169" t="s">
        <v>277</v>
      </c>
      <c r="L105" s="170">
        <v>2.9E-4</v>
      </c>
      <c r="M105" s="169" t="s">
        <v>277</v>
      </c>
    </row>
    <row r="106" spans="1:13" ht="11.25" customHeight="1">
      <c r="A106" s="168" t="s">
        <v>515</v>
      </c>
      <c r="B106" s="169" t="s">
        <v>277</v>
      </c>
      <c r="C106" s="169" t="s">
        <v>277</v>
      </c>
      <c r="D106" s="170">
        <v>1.55</v>
      </c>
      <c r="E106" s="169" t="s">
        <v>277</v>
      </c>
      <c r="F106" s="170">
        <v>1.5</v>
      </c>
      <c r="G106" s="169" t="s">
        <v>277</v>
      </c>
      <c r="H106" s="169" t="s">
        <v>277</v>
      </c>
      <c r="I106" s="169" t="s">
        <v>277</v>
      </c>
      <c r="J106" s="214">
        <v>0.28999999999999998</v>
      </c>
      <c r="K106" s="169" t="s">
        <v>277</v>
      </c>
      <c r="L106" s="170">
        <v>8.9999999999999998E-4</v>
      </c>
      <c r="M106" s="169" t="s">
        <v>277</v>
      </c>
    </row>
    <row r="107" spans="1:13" ht="11.25" customHeight="1">
      <c r="A107" s="171" t="s">
        <v>516</v>
      </c>
      <c r="B107" s="172"/>
      <c r="C107" s="173" t="s">
        <v>277</v>
      </c>
      <c r="D107" s="172">
        <v>78.2</v>
      </c>
      <c r="E107" s="172">
        <v>78</v>
      </c>
      <c r="F107" s="172">
        <v>76.7</v>
      </c>
      <c r="G107" s="172">
        <v>34</v>
      </c>
      <c r="H107" s="173" t="s">
        <v>277</v>
      </c>
      <c r="I107" s="173" t="s">
        <v>277</v>
      </c>
      <c r="J107" s="172">
        <v>0.04</v>
      </c>
      <c r="K107" s="172">
        <v>5.0000000000000001E-3</v>
      </c>
      <c r="L107" s="172">
        <v>0.157</v>
      </c>
      <c r="M107" s="172">
        <v>0.26500000000000001</v>
      </c>
    </row>
    <row r="109" spans="1:13" ht="15">
      <c r="A109" s="46" t="s">
        <v>210</v>
      </c>
      <c r="B109" s="46"/>
      <c r="C109" s="119"/>
      <c r="D109" s="46"/>
      <c r="E109" s="120"/>
      <c r="F109" s="1"/>
      <c r="G109" s="20"/>
    </row>
    <row r="110" spans="1:13" ht="13.5">
      <c r="A110" s="295" t="s">
        <v>310</v>
      </c>
      <c r="B110" s="295"/>
      <c r="C110" s="295"/>
      <c r="D110" s="295"/>
      <c r="E110" s="295"/>
      <c r="F110" s="295"/>
      <c r="G110" s="295"/>
    </row>
    <row r="111" spans="1:13" ht="13.5">
      <c r="A111" s="10"/>
      <c r="B111" s="10"/>
      <c r="C111" s="10"/>
      <c r="D111" s="10"/>
      <c r="E111" s="10"/>
      <c r="F111" s="1"/>
      <c r="G111" s="10"/>
    </row>
    <row r="112" spans="1:13" ht="21" customHeight="1">
      <c r="A112" s="288" t="s">
        <v>37</v>
      </c>
      <c r="B112" s="288"/>
      <c r="C112" s="288"/>
      <c r="D112" s="288"/>
      <c r="E112" s="288"/>
      <c r="F112" s="288"/>
      <c r="G112" s="288"/>
      <c r="H112" s="288"/>
      <c r="I112" s="288"/>
      <c r="J112" s="288"/>
      <c r="K112" s="288"/>
      <c r="L112" s="288"/>
      <c r="M112" s="288"/>
    </row>
    <row r="113" spans="1:7" ht="15">
      <c r="A113"/>
      <c r="B113"/>
      <c r="C113"/>
      <c r="D113"/>
      <c r="E113"/>
      <c r="F113"/>
      <c r="G113"/>
    </row>
  </sheetData>
  <sheetProtection sheet="1" objects="1" scenarios="1"/>
  <mergeCells count="8">
    <mergeCell ref="A110:G110"/>
    <mergeCell ref="A112:M112"/>
    <mergeCell ref="A1:A2"/>
    <mergeCell ref="B1:G1"/>
    <mergeCell ref="H1:M1"/>
    <mergeCell ref="A55:A56"/>
    <mergeCell ref="B55:G55"/>
    <mergeCell ref="H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E956-4F54-4725-9BC7-695BB8BCCF59}">
  <dimension ref="A1:O47"/>
  <sheetViews>
    <sheetView topLeftCell="A16" zoomScaleNormal="100" workbookViewId="0">
      <selection activeCell="F33" sqref="F33"/>
    </sheetView>
  </sheetViews>
  <sheetFormatPr defaultColWidth="11.42578125" defaultRowHeight="13.5"/>
  <cols>
    <col min="1" max="1" width="11.28515625" style="7" customWidth="1"/>
    <col min="2" max="2" width="8.42578125" style="7" customWidth="1"/>
    <col min="3" max="15" width="8.42578125" style="6" customWidth="1"/>
    <col min="16" max="16384" width="11.42578125" style="7"/>
  </cols>
  <sheetData>
    <row r="1" spans="1:15">
      <c r="A1" s="39" t="s">
        <v>38</v>
      </c>
      <c r="B1" s="1"/>
      <c r="C1" s="2"/>
      <c r="D1" s="2"/>
      <c r="E1" s="2"/>
      <c r="F1" s="2"/>
      <c r="G1" s="2"/>
      <c r="H1" s="2"/>
      <c r="I1" s="2"/>
      <c r="J1" s="2"/>
      <c r="K1" s="2"/>
      <c r="L1" s="2"/>
      <c r="M1" s="2"/>
      <c r="N1" s="2"/>
      <c r="O1" s="2"/>
    </row>
    <row r="2" spans="1:15" ht="8.25" customHeight="1">
      <c r="A2" s="1"/>
      <c r="B2" s="1"/>
      <c r="C2" s="2"/>
      <c r="D2" s="2"/>
      <c r="E2" s="2"/>
      <c r="F2" s="2"/>
      <c r="G2" s="2"/>
      <c r="H2" s="2"/>
      <c r="I2" s="2"/>
      <c r="J2" s="2"/>
      <c r="K2" s="2"/>
      <c r="L2" s="2"/>
      <c r="M2" s="2"/>
      <c r="N2" s="2"/>
      <c r="O2" s="2"/>
    </row>
    <row r="3" spans="1:15">
      <c r="A3" s="1" t="s">
        <v>1</v>
      </c>
      <c r="B3" s="43" t="s">
        <v>2</v>
      </c>
      <c r="C3" s="2"/>
      <c r="D3" s="2"/>
      <c r="E3" s="2"/>
      <c r="F3" s="2"/>
      <c r="G3" s="2"/>
      <c r="H3" s="2"/>
      <c r="I3" s="2"/>
      <c r="J3" s="2"/>
      <c r="K3" s="2"/>
      <c r="L3" s="2"/>
      <c r="M3" s="2"/>
      <c r="N3" s="2"/>
      <c r="O3" s="2"/>
    </row>
    <row r="4" spans="1:15">
      <c r="A4" s="1" t="s">
        <v>3</v>
      </c>
      <c r="B4" s="1" t="s">
        <v>4</v>
      </c>
      <c r="C4" s="2"/>
      <c r="D4" s="2"/>
      <c r="E4" s="2"/>
      <c r="F4" s="2"/>
      <c r="G4" s="2"/>
      <c r="H4" s="2"/>
      <c r="I4" s="2"/>
      <c r="J4" s="2"/>
      <c r="K4" s="2"/>
      <c r="L4" s="2"/>
      <c r="M4" s="2"/>
      <c r="N4" s="2"/>
      <c r="O4" s="2"/>
    </row>
    <row r="5" spans="1:15">
      <c r="A5" s="1" t="s">
        <v>5</v>
      </c>
      <c r="B5" s="1" t="s">
        <v>39</v>
      </c>
      <c r="C5" s="2"/>
      <c r="D5" s="2"/>
      <c r="E5" s="2"/>
      <c r="F5" s="2"/>
      <c r="G5" s="2"/>
      <c r="H5" s="2"/>
      <c r="I5" s="2"/>
      <c r="J5" s="2"/>
      <c r="K5" s="2"/>
      <c r="L5" s="2"/>
      <c r="M5" s="2"/>
      <c r="N5" s="2"/>
      <c r="O5" s="2"/>
    </row>
    <row r="6" spans="1:15" ht="8.25" customHeight="1">
      <c r="A6" s="1"/>
      <c r="B6" s="1"/>
      <c r="C6" s="2"/>
      <c r="D6" s="2"/>
      <c r="E6" s="2"/>
      <c r="F6" s="2"/>
      <c r="G6" s="2"/>
      <c r="H6" s="2"/>
      <c r="I6" s="2"/>
      <c r="J6" s="2"/>
      <c r="K6" s="2"/>
      <c r="L6" s="2"/>
      <c r="M6" s="2"/>
      <c r="N6" s="2"/>
      <c r="O6" s="2"/>
    </row>
    <row r="7" spans="1:15" ht="13.5" customHeight="1">
      <c r="A7" s="1" t="s">
        <v>40</v>
      </c>
      <c r="B7" s="1"/>
      <c r="C7" s="2"/>
      <c r="D7" s="2"/>
      <c r="E7" s="2"/>
      <c r="F7" s="2"/>
      <c r="G7" s="2"/>
      <c r="H7" s="2"/>
      <c r="I7" s="2"/>
      <c r="J7" s="2"/>
      <c r="K7" s="2"/>
      <c r="L7" s="2"/>
      <c r="M7" s="2"/>
      <c r="N7" s="2"/>
      <c r="O7" s="2"/>
    </row>
    <row r="8" spans="1:15">
      <c r="A8" s="1" t="s">
        <v>41</v>
      </c>
      <c r="B8" s="1"/>
      <c r="C8" s="2"/>
      <c r="D8" s="2"/>
      <c r="E8" s="2"/>
      <c r="F8" s="2"/>
      <c r="G8" s="2"/>
      <c r="H8" s="2"/>
      <c r="I8" s="2"/>
      <c r="J8" s="2"/>
      <c r="K8" s="2"/>
      <c r="L8" s="2"/>
      <c r="M8" s="2"/>
      <c r="N8" s="2"/>
      <c r="O8" s="2"/>
    </row>
    <row r="9" spans="1:15" ht="8.25" customHeight="1">
      <c r="A9" s="50"/>
      <c r="B9" s="50"/>
      <c r="C9" s="51"/>
      <c r="D9" s="51"/>
      <c r="E9" s="2"/>
      <c r="F9" s="51"/>
      <c r="G9" s="51"/>
      <c r="H9" s="51"/>
      <c r="I9" s="51"/>
      <c r="J9" s="51"/>
      <c r="K9" s="2"/>
      <c r="L9" s="2"/>
      <c r="M9" s="2"/>
      <c r="N9" s="2"/>
      <c r="O9" s="2"/>
    </row>
    <row r="10" spans="1:15" s="5" customFormat="1">
      <c r="A10" s="44" t="s">
        <v>10</v>
      </c>
      <c r="B10" s="44"/>
      <c r="C10" s="44"/>
      <c r="D10" s="45" t="s">
        <v>11</v>
      </c>
      <c r="E10" s="46"/>
      <c r="F10" s="44" t="s">
        <v>42</v>
      </c>
      <c r="G10" s="52"/>
      <c r="H10" s="52"/>
      <c r="I10" s="53" t="s">
        <v>31</v>
      </c>
      <c r="J10" s="45" t="s">
        <v>11</v>
      </c>
      <c r="K10" s="46"/>
      <c r="L10" s="46"/>
      <c r="M10" s="46"/>
      <c r="N10" s="46"/>
      <c r="O10" s="46"/>
    </row>
    <row r="11" spans="1:15">
      <c r="A11" s="1" t="s">
        <v>43</v>
      </c>
      <c r="B11" s="1"/>
      <c r="C11" s="46"/>
      <c r="D11" s="16" t="s">
        <v>44</v>
      </c>
      <c r="E11" s="2"/>
      <c r="F11" s="46" t="s">
        <v>45</v>
      </c>
      <c r="G11" s="2"/>
      <c r="H11" s="2"/>
      <c r="I11" s="15">
        <v>299800000</v>
      </c>
      <c r="J11" s="16" t="s">
        <v>46</v>
      </c>
      <c r="K11" s="2"/>
      <c r="L11" s="2"/>
      <c r="M11" s="2"/>
      <c r="N11" s="2"/>
      <c r="O11" s="2"/>
    </row>
    <row r="12" spans="1:15">
      <c r="A12" s="1" t="s">
        <v>47</v>
      </c>
      <c r="B12" s="1"/>
      <c r="C12" s="46"/>
      <c r="D12" s="16" t="s">
        <v>48</v>
      </c>
      <c r="E12" s="2"/>
      <c r="F12" s="46" t="s">
        <v>49</v>
      </c>
      <c r="G12" s="2"/>
      <c r="H12" s="2"/>
      <c r="I12" s="15">
        <v>8.8539999999999992E-12</v>
      </c>
      <c r="J12" s="16" t="s">
        <v>50</v>
      </c>
      <c r="K12" s="2"/>
      <c r="L12" s="2"/>
      <c r="M12" s="2"/>
      <c r="N12" s="2"/>
      <c r="O12" s="2"/>
    </row>
    <row r="13" spans="1:15">
      <c r="A13" s="1" t="s">
        <v>51</v>
      </c>
      <c r="B13" s="1"/>
      <c r="C13" s="46"/>
      <c r="D13" s="16" t="s">
        <v>52</v>
      </c>
      <c r="E13" s="2"/>
      <c r="F13" s="46" t="s">
        <v>53</v>
      </c>
      <c r="G13" s="2"/>
      <c r="H13" s="2"/>
      <c r="I13" s="15">
        <f>4*PI()*0.0000001</f>
        <v>1.2566370614359173E-6</v>
      </c>
      <c r="J13" s="16" t="s">
        <v>54</v>
      </c>
      <c r="K13" s="2"/>
      <c r="L13" s="2"/>
      <c r="M13" s="2"/>
      <c r="N13" s="2"/>
      <c r="O13" s="2"/>
    </row>
    <row r="14" spans="1:15">
      <c r="A14" s="1" t="s">
        <v>55</v>
      </c>
      <c r="B14" s="1"/>
      <c r="C14" s="46"/>
      <c r="D14" s="16" t="s">
        <v>56</v>
      </c>
      <c r="E14" s="2"/>
      <c r="F14" s="2"/>
      <c r="G14" s="2"/>
      <c r="H14" s="2"/>
      <c r="I14" s="2"/>
      <c r="J14" s="2"/>
      <c r="K14" s="2"/>
      <c r="L14" s="2"/>
      <c r="M14" s="2"/>
      <c r="N14" s="2"/>
      <c r="O14" s="2"/>
    </row>
    <row r="15" spans="1:15">
      <c r="A15" s="1" t="s">
        <v>57</v>
      </c>
      <c r="B15" s="1"/>
      <c r="C15" s="46"/>
      <c r="D15" s="16" t="s">
        <v>58</v>
      </c>
      <c r="E15" s="2"/>
      <c r="F15" s="2"/>
      <c r="G15" s="2"/>
      <c r="H15" s="2"/>
      <c r="I15" s="2"/>
      <c r="J15" s="2"/>
      <c r="K15" s="2"/>
      <c r="L15" s="2"/>
      <c r="M15" s="2"/>
      <c r="N15" s="2"/>
      <c r="O15" s="2"/>
    </row>
    <row r="16" spans="1:15">
      <c r="A16" s="1" t="s">
        <v>59</v>
      </c>
      <c r="B16" s="1"/>
      <c r="C16" s="46"/>
      <c r="D16" s="16" t="s">
        <v>60</v>
      </c>
      <c r="E16" s="2"/>
      <c r="F16" s="2"/>
      <c r="G16" s="2"/>
      <c r="H16" s="2"/>
      <c r="I16" s="2"/>
      <c r="J16" s="2"/>
      <c r="K16" s="2"/>
      <c r="L16" s="2"/>
      <c r="M16" s="2"/>
      <c r="N16" s="2"/>
      <c r="O16" s="2"/>
    </row>
    <row r="17" spans="1:15">
      <c r="A17" s="1" t="s">
        <v>61</v>
      </c>
      <c r="B17" s="1"/>
      <c r="C17" s="46"/>
      <c r="D17" s="16" t="s">
        <v>62</v>
      </c>
      <c r="E17" s="2"/>
      <c r="F17" s="2"/>
      <c r="G17" s="2"/>
      <c r="H17" s="2"/>
      <c r="I17" s="2"/>
      <c r="J17" s="2"/>
      <c r="K17" s="2"/>
      <c r="L17" s="2"/>
      <c r="M17" s="2"/>
      <c r="N17" s="2"/>
      <c r="O17" s="2"/>
    </row>
    <row r="18" spans="1:15">
      <c r="A18" s="1" t="s">
        <v>63</v>
      </c>
      <c r="B18" s="1"/>
      <c r="C18" s="46"/>
      <c r="D18" s="16" t="s">
        <v>64</v>
      </c>
      <c r="E18" s="2"/>
      <c r="F18" s="2"/>
      <c r="G18" s="2"/>
      <c r="H18" s="2"/>
      <c r="I18" s="2"/>
      <c r="J18" s="2"/>
      <c r="K18" s="2"/>
      <c r="L18" s="2"/>
      <c r="M18" s="2"/>
      <c r="N18" s="2"/>
      <c r="O18" s="2"/>
    </row>
    <row r="19" spans="1:15" ht="15">
      <c r="A19" s="1" t="s">
        <v>65</v>
      </c>
      <c r="B19" s="1"/>
      <c r="C19" s="46"/>
      <c r="D19" s="16" t="s">
        <v>66</v>
      </c>
      <c r="E19" s="2"/>
      <c r="F19" s="2"/>
      <c r="G19" s="2"/>
      <c r="H19" s="2"/>
      <c r="I19" s="2"/>
      <c r="J19" s="2"/>
      <c r="K19" s="2"/>
      <c r="L19" s="2"/>
      <c r="M19" s="2"/>
      <c r="N19" s="2"/>
      <c r="O19" s="2"/>
    </row>
    <row r="20" spans="1:15" ht="14.25" customHeight="1">
      <c r="A20" s="1" t="s">
        <v>67</v>
      </c>
      <c r="B20" s="1"/>
      <c r="C20" s="46"/>
      <c r="D20" s="16" t="s">
        <v>68</v>
      </c>
      <c r="E20" s="2"/>
      <c r="F20" s="2"/>
      <c r="G20" s="2"/>
      <c r="H20" s="2"/>
      <c r="I20" s="2"/>
      <c r="J20" s="2"/>
      <c r="K20" s="2"/>
      <c r="L20" s="2"/>
      <c r="M20" s="2"/>
      <c r="N20" s="2"/>
      <c r="O20" s="2"/>
    </row>
    <row r="21" spans="1:15" ht="14.25" customHeight="1">
      <c r="A21" s="1" t="s">
        <v>69</v>
      </c>
      <c r="B21" s="1"/>
      <c r="C21" s="46"/>
      <c r="D21" s="16" t="s">
        <v>70</v>
      </c>
      <c r="E21" s="2"/>
      <c r="F21" s="2"/>
      <c r="G21" s="2"/>
      <c r="H21" s="2"/>
      <c r="I21" s="2"/>
      <c r="J21" s="2"/>
      <c r="K21" s="2"/>
      <c r="L21" s="2"/>
      <c r="M21" s="2"/>
      <c r="N21" s="2"/>
      <c r="O21" s="2"/>
    </row>
    <row r="22" spans="1:15" ht="14.25" customHeight="1">
      <c r="A22" s="1" t="s">
        <v>71</v>
      </c>
      <c r="B22" s="1"/>
      <c r="C22" s="46"/>
      <c r="D22" s="16" t="s">
        <v>72</v>
      </c>
      <c r="E22" s="2"/>
      <c r="F22" s="2"/>
      <c r="G22" s="2"/>
      <c r="H22" s="2"/>
      <c r="I22" s="2"/>
      <c r="J22" s="2"/>
      <c r="K22" s="2"/>
      <c r="L22" s="2"/>
      <c r="M22" s="2"/>
      <c r="N22" s="2"/>
      <c r="O22" s="2"/>
    </row>
    <row r="23" spans="1:15" ht="14.25" customHeight="1">
      <c r="A23" s="1"/>
      <c r="B23" s="1"/>
      <c r="C23" s="46"/>
      <c r="D23" s="81"/>
      <c r="E23" s="51"/>
      <c r="F23" s="51"/>
      <c r="G23" s="51"/>
      <c r="H23" s="51"/>
      <c r="I23" s="51"/>
      <c r="J23" s="51"/>
      <c r="K23" s="51"/>
      <c r="L23" s="51"/>
      <c r="M23" s="51"/>
      <c r="N23" s="51"/>
      <c r="O23" s="51"/>
    </row>
    <row r="24" spans="1:15" ht="14.25" customHeight="1">
      <c r="A24" s="44" t="s">
        <v>30</v>
      </c>
      <c r="B24" s="49"/>
      <c r="C24" s="82" t="s">
        <v>31</v>
      </c>
      <c r="D24" s="47" t="s">
        <v>11</v>
      </c>
      <c r="E24" s="45" t="s">
        <v>32</v>
      </c>
      <c r="F24" s="48"/>
      <c r="G24" s="48"/>
      <c r="H24" s="48"/>
      <c r="I24" s="48"/>
      <c r="J24" s="48"/>
      <c r="K24" s="48"/>
      <c r="L24" s="48"/>
      <c r="M24" s="48"/>
      <c r="N24" s="48"/>
      <c r="O24" s="48"/>
    </row>
    <row r="25" spans="1:15" ht="14.25" customHeight="1">
      <c r="A25" s="1" t="s">
        <v>73</v>
      </c>
      <c r="B25" s="39"/>
      <c r="C25" s="30">
        <f>SQRT(I13/I12)</f>
        <v>376.73430918211017</v>
      </c>
      <c r="D25" s="16" t="s">
        <v>34</v>
      </c>
      <c r="E25" s="16" t="s">
        <v>74</v>
      </c>
      <c r="F25" s="2"/>
      <c r="G25" s="2"/>
      <c r="H25" s="2"/>
      <c r="I25" s="2"/>
      <c r="J25" s="2"/>
      <c r="K25" s="2"/>
      <c r="L25" s="2"/>
      <c r="M25" s="2"/>
      <c r="N25" s="2"/>
      <c r="O25" s="2"/>
    </row>
    <row r="26" spans="1:15" ht="6.75" customHeight="1">
      <c r="A26" s="50"/>
      <c r="B26" s="50"/>
      <c r="C26" s="51"/>
      <c r="D26" s="51"/>
      <c r="E26" s="51"/>
      <c r="F26" s="51"/>
      <c r="G26" s="51"/>
      <c r="H26" s="51"/>
      <c r="I26" s="51"/>
      <c r="J26" s="51"/>
      <c r="K26" s="51"/>
      <c r="L26" s="51"/>
      <c r="M26" s="51"/>
      <c r="N26" s="51"/>
      <c r="O26" s="51"/>
    </row>
    <row r="27" spans="1:15" s="8" customFormat="1" ht="15">
      <c r="A27" s="78" t="s">
        <v>36</v>
      </c>
      <c r="B27" s="79"/>
      <c r="C27" s="80" t="s">
        <v>44</v>
      </c>
      <c r="D27" s="48" t="s">
        <v>48</v>
      </c>
      <c r="E27" s="48" t="s">
        <v>52</v>
      </c>
      <c r="F27" s="48" t="s">
        <v>56</v>
      </c>
      <c r="G27" s="48" t="s">
        <v>58</v>
      </c>
      <c r="H27" s="48" t="s">
        <v>75</v>
      </c>
      <c r="I27" s="48" t="s">
        <v>60</v>
      </c>
      <c r="J27" s="48" t="s">
        <v>62</v>
      </c>
      <c r="K27" s="48" t="s">
        <v>64</v>
      </c>
      <c r="L27" s="48" t="s">
        <v>66</v>
      </c>
      <c r="M27" s="48" t="s">
        <v>68</v>
      </c>
      <c r="N27" s="51" t="s">
        <v>70</v>
      </c>
      <c r="O27" s="48" t="s">
        <v>72</v>
      </c>
    </row>
    <row r="28" spans="1:15" s="8" customFormat="1">
      <c r="A28" s="32" t="s">
        <v>76</v>
      </c>
      <c r="B28" s="46" t="s">
        <v>44</v>
      </c>
      <c r="C28" s="11"/>
      <c r="D28" s="2">
        <f>20*LOG10(A28*1000000)</f>
        <v>140</v>
      </c>
      <c r="E28" s="2">
        <f>A28/($C$25)</f>
        <v>2.6543905761357362E-2</v>
      </c>
      <c r="F28" s="2">
        <f>20*LOG10(E28*1000000)</f>
        <v>88.479296536207329</v>
      </c>
      <c r="G28" s="2">
        <f>E28*$I$13</f>
        <v>3.3356055734984033E-8</v>
      </c>
      <c r="H28" s="2">
        <f>G28*1000</f>
        <v>3.3356055734984035E-5</v>
      </c>
      <c r="I28" s="2">
        <f>G28*1000000000000</f>
        <v>33356.055734984031</v>
      </c>
      <c r="J28" s="2">
        <f t="shared" ref="J28:J37" si="0">20*LOG10(I28)</f>
        <v>90.463493816649247</v>
      </c>
      <c r="K28" s="2">
        <f t="shared" ref="K28:K37" si="1">G28*10000</f>
        <v>3.3356055734984032E-4</v>
      </c>
      <c r="L28" s="2">
        <f>A28*E28</f>
        <v>0.26543905761357361</v>
      </c>
      <c r="M28" s="2">
        <f t="shared" ref="M28:M36" si="2">10*LOG10(L28)</f>
        <v>-5.7603517318963355</v>
      </c>
      <c r="N28" s="2">
        <f t="shared" ref="N28:N35" si="3">10*LOG(L28/0.001)</f>
        <v>24.239648268103661</v>
      </c>
      <c r="O28" s="2">
        <f>L28*0.1</f>
        <v>2.6543905761357362E-2</v>
      </c>
    </row>
    <row r="29" spans="1:15" s="8" customFormat="1">
      <c r="A29" s="32" t="s">
        <v>628</v>
      </c>
      <c r="B29" s="46" t="s">
        <v>48</v>
      </c>
      <c r="C29" s="3">
        <f>10^((A29-120)/20)</f>
        <v>1.4962356560944322E-4</v>
      </c>
      <c r="D29" s="4"/>
      <c r="E29" s="2">
        <f>C29/$C$25</f>
        <v>3.9715938252153314E-7</v>
      </c>
      <c r="F29" s="2">
        <f>20*LOG10(E29*1000000)</f>
        <v>-8.0207034637926782</v>
      </c>
      <c r="G29" s="2">
        <f>E29*$I$13</f>
        <v>4.9908519937356286E-13</v>
      </c>
      <c r="H29" s="2">
        <f>G29*1000</f>
        <v>4.9908519937356289E-10</v>
      </c>
      <c r="I29" s="2">
        <f>G29*1000000000000</f>
        <v>0.49908519937356288</v>
      </c>
      <c r="J29" s="2">
        <f t="shared" si="0"/>
        <v>-6.0365061833507525</v>
      </c>
      <c r="K29" s="2">
        <f t="shared" si="1"/>
        <v>4.9908519937356287E-9</v>
      </c>
      <c r="L29" s="2">
        <f>C29*E29</f>
        <v>5.9424402928116572E-11</v>
      </c>
      <c r="M29" s="2">
        <f t="shared" si="2"/>
        <v>-102.26035173189635</v>
      </c>
      <c r="N29" s="2">
        <f t="shared" si="3"/>
        <v>-72.26035173189635</v>
      </c>
      <c r="O29" s="2">
        <f t="shared" ref="O29:O35" si="4">L29*0.1</f>
        <v>5.9424402928116575E-12</v>
      </c>
    </row>
    <row r="30" spans="1:15" s="9" customFormat="1">
      <c r="A30" s="32" t="s">
        <v>77</v>
      </c>
      <c r="B30" s="46" t="s">
        <v>52</v>
      </c>
      <c r="C30" s="3">
        <f>$C$25*A30</f>
        <v>9.9985285656932046</v>
      </c>
      <c r="D30" s="2">
        <f t="shared" ref="D30:D37" si="5">20*LOG10(C30*1000000)</f>
        <v>139.99872183436099</v>
      </c>
      <c r="E30" s="4"/>
      <c r="F30" s="2">
        <f>20*LOG10(A30*1000000)</f>
        <v>88.478018370568336</v>
      </c>
      <c r="G30" s="2">
        <f>A30*$I$13</f>
        <v>3.3351147610509243E-8</v>
      </c>
      <c r="H30" s="2">
        <f>G30*1000</f>
        <v>3.3351147610509244E-5</v>
      </c>
      <c r="I30" s="2">
        <f>G30*1000000000000</f>
        <v>33351.147610509244</v>
      </c>
      <c r="J30" s="2">
        <f t="shared" si="0"/>
        <v>90.462215651010268</v>
      </c>
      <c r="K30" s="2">
        <f t="shared" si="1"/>
        <v>3.3351147610509246E-4</v>
      </c>
      <c r="L30" s="2">
        <f>C30*A30</f>
        <v>0.26536094813349764</v>
      </c>
      <c r="M30" s="2">
        <f t="shared" si="2"/>
        <v>-5.7616298975353297</v>
      </c>
      <c r="N30" s="2">
        <f t="shared" si="3"/>
        <v>24.238370102464671</v>
      </c>
      <c r="O30" s="2">
        <f t="shared" si="4"/>
        <v>2.6536094813349766E-2</v>
      </c>
    </row>
    <row r="31" spans="1:15" s="8" customFormat="1">
      <c r="A31" s="32" t="s">
        <v>78</v>
      </c>
      <c r="B31" s="46" t="s">
        <v>56</v>
      </c>
      <c r="C31" s="3">
        <f t="shared" ref="C31:C37" si="6">$C$25*E31</f>
        <v>10.000003987839468</v>
      </c>
      <c r="D31" s="2">
        <f t="shared" si="5"/>
        <v>140.00000346379267</v>
      </c>
      <c r="E31" s="2">
        <f>10^((A31-120)/20)</f>
        <v>2.6543916346640866E-2</v>
      </c>
      <c r="F31" s="4"/>
      <c r="G31" s="2">
        <f>E31*$I$13</f>
        <v>3.3356069036843587E-8</v>
      </c>
      <c r="H31" s="2">
        <f>G31*1000</f>
        <v>3.3356069036843588E-5</v>
      </c>
      <c r="I31" s="2">
        <f>G31*1000000000000</f>
        <v>33356.06903684359</v>
      </c>
      <c r="J31" s="2">
        <f t="shared" si="0"/>
        <v>90.463497280441914</v>
      </c>
      <c r="K31" s="2">
        <f t="shared" si="1"/>
        <v>3.3356069036843586E-4</v>
      </c>
      <c r="L31" s="2">
        <f t="shared" ref="L31:L36" si="7">C31*E31</f>
        <v>0.26543926931928591</v>
      </c>
      <c r="M31" s="2">
        <f>10*LOG10(L31)</f>
        <v>-5.7603482681036748</v>
      </c>
      <c r="N31" s="2">
        <f t="shared" si="3"/>
        <v>24.239651731896323</v>
      </c>
      <c r="O31" s="2">
        <f t="shared" si="4"/>
        <v>2.6543926931928592E-2</v>
      </c>
    </row>
    <row r="32" spans="1:15" s="8" customFormat="1">
      <c r="A32" s="32">
        <v>3.3355999999999998E-8</v>
      </c>
      <c r="B32" s="46" t="s">
        <v>58</v>
      </c>
      <c r="C32" s="3">
        <f t="shared" si="6"/>
        <v>9.9999832908949209</v>
      </c>
      <c r="D32" s="2">
        <f t="shared" si="5"/>
        <v>139.9999854866436</v>
      </c>
      <c r="E32" s="2">
        <f>A32/$I$13</f>
        <v>2.6543861408866304E-2</v>
      </c>
      <c r="F32" s="2">
        <f t="shared" ref="F32:F40" si="8">20*LOG10(E32*1000000)</f>
        <v>88.479282022850924</v>
      </c>
      <c r="G32" s="4"/>
      <c r="H32" s="2">
        <f>A32*1000</f>
        <v>3.3355999999999997E-5</v>
      </c>
      <c r="I32" s="2">
        <f>A32*1000000000000</f>
        <v>33356</v>
      </c>
      <c r="J32" s="2">
        <f t="shared" si="0"/>
        <v>90.463479303292871</v>
      </c>
      <c r="K32" s="2">
        <f>A32*10000</f>
        <v>3.3356E-4</v>
      </c>
      <c r="L32" s="2">
        <f t="shared" si="7"/>
        <v>0.26543817056449354</v>
      </c>
      <c r="M32" s="2">
        <f t="shared" si="2"/>
        <v>-5.7603662452527278</v>
      </c>
      <c r="N32" s="2">
        <f t="shared" si="3"/>
        <v>24.23963375474727</v>
      </c>
      <c r="O32" s="2">
        <f t="shared" si="4"/>
        <v>2.6543817056449356E-2</v>
      </c>
    </row>
    <row r="33" spans="1:15" s="8" customFormat="1">
      <c r="A33" s="32">
        <v>3.3355999999999997E-5</v>
      </c>
      <c r="B33" s="46" t="s">
        <v>75</v>
      </c>
      <c r="C33" s="3">
        <f t="shared" si="6"/>
        <v>9.9999832908949209</v>
      </c>
      <c r="D33" s="2">
        <f t="shared" si="5"/>
        <v>139.9999854866436</v>
      </c>
      <c r="E33" s="2">
        <f>A33/1000/$I$13</f>
        <v>2.6543861408866304E-2</v>
      </c>
      <c r="F33" s="2">
        <f t="shared" si="8"/>
        <v>88.479282022850924</v>
      </c>
      <c r="G33" s="2">
        <f>A33/1000</f>
        <v>3.3355999999999998E-8</v>
      </c>
      <c r="H33" s="4"/>
      <c r="I33" s="2">
        <f>G33*1000000000000</f>
        <v>33356</v>
      </c>
      <c r="J33" s="2">
        <f t="shared" si="0"/>
        <v>90.463479303292871</v>
      </c>
      <c r="K33" s="2">
        <f t="shared" si="1"/>
        <v>3.3356E-4</v>
      </c>
      <c r="L33" s="2">
        <f t="shared" si="7"/>
        <v>0.26543817056449354</v>
      </c>
      <c r="M33" s="2">
        <f t="shared" si="2"/>
        <v>-5.7603662452527278</v>
      </c>
      <c r="N33" s="2">
        <f t="shared" si="3"/>
        <v>24.23963375474727</v>
      </c>
      <c r="O33" s="2">
        <f t="shared" si="4"/>
        <v>2.6543817056449356E-2</v>
      </c>
    </row>
    <row r="34" spans="1:15" s="8" customFormat="1">
      <c r="A34" s="32">
        <v>33356</v>
      </c>
      <c r="B34" s="46" t="s">
        <v>60</v>
      </c>
      <c r="C34" s="3">
        <f t="shared" si="6"/>
        <v>9.9999832908949209</v>
      </c>
      <c r="D34" s="2">
        <f t="shared" si="5"/>
        <v>139.9999854866436</v>
      </c>
      <c r="E34" s="2">
        <f>G34/$I$13</f>
        <v>2.6543861408866304E-2</v>
      </c>
      <c r="F34" s="2">
        <f t="shared" si="8"/>
        <v>88.479282022850924</v>
      </c>
      <c r="G34" s="2">
        <f>A34/1000000000000</f>
        <v>3.3355999999999998E-8</v>
      </c>
      <c r="H34" s="2">
        <f>A34/1000000000</f>
        <v>3.3355999999999997E-5</v>
      </c>
      <c r="I34" s="4"/>
      <c r="J34" s="2">
        <f>20*LOG10(A34)</f>
        <v>90.463479303292871</v>
      </c>
      <c r="K34" s="2">
        <f>G34*10000</f>
        <v>3.3356E-4</v>
      </c>
      <c r="L34" s="2">
        <f t="shared" si="7"/>
        <v>0.26543817056449354</v>
      </c>
      <c r="M34" s="2">
        <f>10*LOG10(L34)</f>
        <v>-5.7603662452527278</v>
      </c>
      <c r="N34" s="2">
        <f t="shared" si="3"/>
        <v>24.23963375474727</v>
      </c>
      <c r="O34" s="2">
        <f t="shared" si="4"/>
        <v>2.6543817056449356E-2</v>
      </c>
    </row>
    <row r="35" spans="1:15" s="8" customFormat="1">
      <c r="A35" s="32" t="s">
        <v>79</v>
      </c>
      <c r="B35" s="46" t="s">
        <v>62</v>
      </c>
      <c r="C35" s="3">
        <f t="shared" si="6"/>
        <v>10.000007118848181</v>
      </c>
      <c r="D35" s="2">
        <f t="shared" si="5"/>
        <v>140.00000618335076</v>
      </c>
      <c r="E35" s="2">
        <f>G35/$I$13</f>
        <v>2.6543924657560888E-2</v>
      </c>
      <c r="F35" s="2">
        <f t="shared" si="8"/>
        <v>88.479302719558092</v>
      </c>
      <c r="G35" s="2">
        <f>H35/1000</f>
        <v>3.3356079480653703E-8</v>
      </c>
      <c r="H35" s="2">
        <f>I35/1000000000</f>
        <v>3.3356079480653704E-5</v>
      </c>
      <c r="I35" s="2">
        <f>10^(A35/20)</f>
        <v>33356.079480653701</v>
      </c>
      <c r="J35" s="4"/>
      <c r="K35" s="2">
        <f>G35*10000</f>
        <v>3.3356079480653704E-4</v>
      </c>
      <c r="L35" s="2">
        <f t="shared" si="7"/>
        <v>0.26543943553777866</v>
      </c>
      <c r="M35" s="2">
        <f>10*LOG10(L35)</f>
        <v>-5.7603455485455708</v>
      </c>
      <c r="N35" s="2">
        <f t="shared" si="3"/>
        <v>24.239654451454427</v>
      </c>
      <c r="O35" s="2">
        <f t="shared" si="4"/>
        <v>2.6543943553777868E-2</v>
      </c>
    </row>
    <row r="36" spans="1:15" s="8" customFormat="1">
      <c r="A36" s="32" t="s">
        <v>80</v>
      </c>
      <c r="B36" s="46" t="s">
        <v>64</v>
      </c>
      <c r="C36" s="3">
        <f t="shared" si="6"/>
        <v>10.013174298953421</v>
      </c>
      <c r="D36" s="2">
        <f t="shared" si="5"/>
        <v>140.01143551958205</v>
      </c>
      <c r="E36" s="2">
        <f>G36/$I$13</f>
        <v>2.6578875496346521E-2</v>
      </c>
      <c r="F36" s="2">
        <f t="shared" si="8"/>
        <v>88.490732055789351</v>
      </c>
      <c r="G36" s="2">
        <f>A36/10000</f>
        <v>3.3400000000000001E-8</v>
      </c>
      <c r="H36" s="2">
        <f>G36*1000</f>
        <v>3.3399999999999999E-5</v>
      </c>
      <c r="I36" s="2">
        <f>G36*1000000000000</f>
        <v>33400</v>
      </c>
      <c r="J36" s="2">
        <f t="shared" si="0"/>
        <v>90.474929336231298</v>
      </c>
      <c r="K36" s="4"/>
      <c r="L36" s="2">
        <f t="shared" si="7"/>
        <v>0.26613891301509984</v>
      </c>
      <c r="M36" s="2">
        <f t="shared" si="2"/>
        <v>-5.7489162123142998</v>
      </c>
      <c r="N36" s="2">
        <f>10*LOG(L36/0.001)</f>
        <v>24.251083787685701</v>
      </c>
      <c r="O36" s="2">
        <f>L36*0.1</f>
        <v>2.6613891301509984E-2</v>
      </c>
    </row>
    <row r="37" spans="1:15" s="8" customFormat="1" ht="15">
      <c r="A37" s="32" t="s">
        <v>81</v>
      </c>
      <c r="B37" s="46" t="s">
        <v>66</v>
      </c>
      <c r="C37" s="3">
        <f t="shared" si="6"/>
        <v>10.000017751449212</v>
      </c>
      <c r="D37" s="2">
        <f t="shared" si="5"/>
        <v>140.00001541869918</v>
      </c>
      <c r="E37" s="2">
        <f>SQRT(A37/$C$25)</f>
        <v>2.6543952880636861E-2</v>
      </c>
      <c r="F37" s="2">
        <f t="shared" si="8"/>
        <v>88.479311954906521</v>
      </c>
      <c r="G37" s="2">
        <f>E37*$I$13</f>
        <v>3.3356114946816957E-8</v>
      </c>
      <c r="H37" s="2">
        <f>G37*1000</f>
        <v>3.3356114946816954E-5</v>
      </c>
      <c r="I37" s="2">
        <f>G37*1000000000000</f>
        <v>33356.114946816953</v>
      </c>
      <c r="J37" s="2">
        <f t="shared" si="0"/>
        <v>90.46350923534844</v>
      </c>
      <c r="K37" s="2">
        <f t="shared" si="1"/>
        <v>3.3356114946816957E-4</v>
      </c>
      <c r="L37" s="4"/>
      <c r="M37" s="2">
        <f>10*LOG10(A37)</f>
        <v>-5.7603363131971452</v>
      </c>
      <c r="N37" s="2">
        <f>10*LOG(A37/0.001)</f>
        <v>24.239663686802857</v>
      </c>
      <c r="O37" s="2">
        <f>A37*0.1</f>
        <v>2.6544000000000002E-2</v>
      </c>
    </row>
    <row r="38" spans="1:15" s="8" customFormat="1" ht="15">
      <c r="A38" s="32" t="s">
        <v>82</v>
      </c>
      <c r="B38" s="46" t="s">
        <v>68</v>
      </c>
      <c r="C38" s="3">
        <f>$C$25*E38</f>
        <v>10.00000199391954</v>
      </c>
      <c r="D38" s="2">
        <f>20*LOG10(C38*1000000)</f>
        <v>140.00000173189633</v>
      </c>
      <c r="E38" s="2">
        <f>SQRT(L38/$C$25)</f>
        <v>2.6543911053998601E-2</v>
      </c>
      <c r="F38" s="2">
        <f t="shared" si="8"/>
        <v>88.479298268103662</v>
      </c>
      <c r="G38" s="2">
        <f>E38*$I$13</f>
        <v>3.3356062385913165E-8</v>
      </c>
      <c r="H38" s="2">
        <f>G38*1000</f>
        <v>3.3356062385913164E-5</v>
      </c>
      <c r="I38" s="2">
        <f>G38*1000000000000</f>
        <v>33356.062385913167</v>
      </c>
      <c r="J38" s="2">
        <f>20*LOG10(I38)</f>
        <v>90.463495548545581</v>
      </c>
      <c r="K38" s="2">
        <f>G38*10000</f>
        <v>3.3356062385913167E-4</v>
      </c>
      <c r="L38" s="2">
        <f>10^(A38/10)</f>
        <v>0.26543916346640894</v>
      </c>
      <c r="M38" s="4"/>
      <c r="N38" s="2">
        <f>10*LOG(L38/0.001)</f>
        <v>24.239649999999997</v>
      </c>
      <c r="O38" s="2">
        <f>L38*0.1</f>
        <v>2.6543916346640897E-2</v>
      </c>
    </row>
    <row r="39" spans="1:15" s="8" customFormat="1" ht="15">
      <c r="A39" s="32" t="s">
        <v>83</v>
      </c>
      <c r="B39" s="46" t="s">
        <v>70</v>
      </c>
      <c r="C39" s="3">
        <f>$C$25*E39</f>
        <v>9.9999444294464279</v>
      </c>
      <c r="D39" s="2">
        <f>20*LOG10(C39*1000000)</f>
        <v>139.99995173189635</v>
      </c>
      <c r="E39" s="2">
        <f>SQRT(L39/$C$25)</f>
        <v>2.654375825540365E-2</v>
      </c>
      <c r="F39" s="2">
        <f t="shared" si="8"/>
        <v>88.479248268103674</v>
      </c>
      <c r="G39" s="2">
        <f>E39*$I$13</f>
        <v>3.3355870373535815E-8</v>
      </c>
      <c r="H39" s="2">
        <f>G39*1000</f>
        <v>3.3355870373535812E-5</v>
      </c>
      <c r="I39" s="2">
        <f>G39*1000000000000</f>
        <v>33355.870373535814</v>
      </c>
      <c r="J39" s="2">
        <f>20*LOG10(I39)</f>
        <v>90.463445548545593</v>
      </c>
      <c r="K39" s="2">
        <f>G39*10000</f>
        <v>3.3355870373535815E-4</v>
      </c>
      <c r="L39" s="2">
        <f>10^(A39/10)/1000</f>
        <v>0.26543610750269636</v>
      </c>
      <c r="M39" s="2">
        <f>10*LOG10(L39)</f>
        <v>-5.7603999999999953</v>
      </c>
      <c r="N39" s="4"/>
      <c r="O39" s="2">
        <f>L39*0.1</f>
        <v>2.6543610750269637E-2</v>
      </c>
    </row>
    <row r="40" spans="1:15" s="8" customFormat="1" ht="15">
      <c r="A40" s="32" t="s">
        <v>84</v>
      </c>
      <c r="B40" s="46" t="s">
        <v>72</v>
      </c>
      <c r="C40" s="3">
        <f>$C$25*E40</f>
        <v>10.000017751449212</v>
      </c>
      <c r="D40" s="2">
        <f>20*LOG10(C40*1000000)</f>
        <v>140.00001541869918</v>
      </c>
      <c r="E40" s="2">
        <f>SQRT(L40/$C$25)</f>
        <v>2.6543952880636861E-2</v>
      </c>
      <c r="F40" s="2">
        <f t="shared" si="8"/>
        <v>88.479311954906521</v>
      </c>
      <c r="G40" s="2">
        <f>E40*$I$13</f>
        <v>3.3356114946816957E-8</v>
      </c>
      <c r="H40" s="2">
        <f>G40*1000</f>
        <v>3.3356114946816954E-5</v>
      </c>
      <c r="I40" s="2">
        <f>G40*1000000000000</f>
        <v>33356.114946816953</v>
      </c>
      <c r="J40" s="2">
        <f>20*LOG10(I40)</f>
        <v>90.46350923534844</v>
      </c>
      <c r="K40" s="2">
        <f>G40*10000</f>
        <v>3.3356114946816957E-4</v>
      </c>
      <c r="L40" s="2">
        <f>A40*10</f>
        <v>0.26544000000000001</v>
      </c>
      <c r="M40" s="2">
        <f>10*LOG10(L40)</f>
        <v>-5.7603363131971452</v>
      </c>
      <c r="N40" s="2">
        <f>10*LOG(L40/0.001)</f>
        <v>24.239663686802857</v>
      </c>
      <c r="O40" s="4"/>
    </row>
    <row r="41" spans="1:15" s="8" customFormat="1">
      <c r="A41" s="121"/>
      <c r="B41" s="46"/>
      <c r="C41" s="122"/>
      <c r="D41" s="2"/>
      <c r="E41" s="2"/>
      <c r="F41" s="2"/>
      <c r="G41" s="2"/>
      <c r="H41" s="2"/>
      <c r="I41" s="2"/>
      <c r="J41" s="2"/>
      <c r="K41" s="2"/>
      <c r="L41" s="2"/>
      <c r="M41" s="2"/>
      <c r="N41" s="2"/>
      <c r="O41" s="2"/>
    </row>
    <row r="42" spans="1:15" s="8" customFormat="1">
      <c r="A42" s="123" t="s">
        <v>211</v>
      </c>
      <c r="B42" s="46"/>
      <c r="C42" s="122"/>
      <c r="D42" s="2"/>
      <c r="E42" s="2"/>
      <c r="F42" s="2"/>
      <c r="G42" s="2"/>
      <c r="H42" s="2"/>
      <c r="I42" s="2"/>
      <c r="J42" s="2"/>
      <c r="K42" s="2"/>
      <c r="L42" s="2"/>
      <c r="M42" s="2"/>
      <c r="N42" s="2"/>
      <c r="O42" s="2"/>
    </row>
    <row r="43" spans="1:15" s="8" customFormat="1">
      <c r="A43" s="289" t="s">
        <v>212</v>
      </c>
      <c r="B43" s="289"/>
      <c r="C43" s="289"/>
      <c r="D43" s="289"/>
      <c r="E43" s="289"/>
      <c r="F43" s="289"/>
      <c r="G43" s="289"/>
      <c r="H43" s="289"/>
      <c r="I43" s="289"/>
      <c r="J43" s="289"/>
      <c r="K43" s="289"/>
      <c r="L43" s="289"/>
      <c r="M43" s="289"/>
      <c r="N43" s="289"/>
      <c r="O43" s="289"/>
    </row>
    <row r="44" spans="1:15">
      <c r="A44" s="1"/>
      <c r="B44" s="1"/>
      <c r="C44" s="2"/>
      <c r="D44" s="2"/>
      <c r="E44" s="2"/>
      <c r="F44" s="2"/>
      <c r="G44" s="2"/>
      <c r="H44" s="2"/>
      <c r="I44" s="2"/>
      <c r="J44" s="2"/>
      <c r="K44" s="2"/>
      <c r="L44" s="2"/>
      <c r="M44" s="2"/>
      <c r="N44" s="2"/>
      <c r="O44" s="2"/>
    </row>
    <row r="45" spans="1:15" ht="22.5" customHeight="1">
      <c r="A45" s="288" t="s">
        <v>37</v>
      </c>
      <c r="B45" s="288"/>
      <c r="C45" s="288"/>
      <c r="D45" s="288"/>
      <c r="E45" s="288"/>
      <c r="F45" s="288"/>
      <c r="G45" s="288"/>
      <c r="H45" s="288"/>
      <c r="I45" s="288"/>
      <c r="J45" s="288"/>
      <c r="K45" s="288"/>
      <c r="L45" s="288"/>
      <c r="M45" s="288"/>
      <c r="N45" s="288"/>
      <c r="O45" s="288"/>
    </row>
    <row r="46" spans="1:15">
      <c r="A46" s="83"/>
      <c r="B46" s="83"/>
      <c r="C46" s="83"/>
      <c r="D46" s="83"/>
      <c r="E46" s="83"/>
      <c r="F46" s="83"/>
      <c r="G46" s="83"/>
      <c r="H46" s="83"/>
      <c r="I46" s="83"/>
      <c r="J46" s="83"/>
      <c r="K46" s="83"/>
      <c r="L46" s="83"/>
      <c r="M46" s="83"/>
      <c r="N46" s="83"/>
      <c r="O46" s="83"/>
    </row>
    <row r="47" spans="1:15" ht="13.5" customHeight="1">
      <c r="A47" s="83"/>
      <c r="B47" s="83"/>
      <c r="C47" s="83"/>
      <c r="D47" s="83"/>
      <c r="E47" s="83"/>
      <c r="F47" s="83"/>
      <c r="G47" s="83"/>
      <c r="H47" s="83"/>
      <c r="I47" s="83"/>
      <c r="J47" s="83"/>
      <c r="K47" s="83"/>
      <c r="L47" s="83"/>
      <c r="M47" s="83"/>
      <c r="N47" s="83"/>
      <c r="O47" s="83"/>
    </row>
  </sheetData>
  <sheetProtection sheet="1" objects="1" scenarios="1"/>
  <mergeCells count="2">
    <mergeCell ref="A45:O45"/>
    <mergeCell ref="A43:O43"/>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F549-47ED-48E6-85A9-90E25FAF70D7}">
  <sheetPr>
    <pageSetUpPr fitToPage="1"/>
  </sheetPr>
  <dimension ref="A1:M1293"/>
  <sheetViews>
    <sheetView zoomScaleNormal="100" workbookViewId="0">
      <selection activeCell="E69" sqref="E69"/>
    </sheetView>
  </sheetViews>
  <sheetFormatPr defaultColWidth="11.42578125" defaultRowHeight="12"/>
  <cols>
    <col min="1" max="3" width="10.140625" style="10" customWidth="1"/>
    <col min="4" max="6" width="14.7109375" style="10" customWidth="1"/>
    <col min="7" max="9" width="10.28515625" style="10" customWidth="1"/>
    <col min="10" max="16384" width="11.42578125" style="10"/>
  </cols>
  <sheetData>
    <row r="1" spans="1:10" ht="13.5">
      <c r="A1" s="39" t="s">
        <v>85</v>
      </c>
      <c r="B1" s="1"/>
      <c r="C1" s="1"/>
      <c r="D1" s="1"/>
      <c r="E1" s="1"/>
      <c r="F1" s="1"/>
      <c r="G1" s="1"/>
    </row>
    <row r="2" spans="1:10" ht="13.5">
      <c r="A2" s="1"/>
      <c r="B2" s="1"/>
      <c r="C2" s="1"/>
      <c r="D2" s="1"/>
      <c r="E2" s="1"/>
      <c r="F2" s="1"/>
      <c r="G2" s="1"/>
    </row>
    <row r="3" spans="1:10" ht="13.5">
      <c r="A3" s="1" t="s">
        <v>1</v>
      </c>
      <c r="B3" s="43" t="s">
        <v>2</v>
      </c>
      <c r="C3" s="1"/>
      <c r="D3" s="1"/>
      <c r="E3" s="1"/>
      <c r="F3" s="1"/>
      <c r="G3" s="1"/>
    </row>
    <row r="4" spans="1:10" ht="13.5">
      <c r="A4" s="1" t="s">
        <v>3</v>
      </c>
      <c r="B4" s="1" t="s">
        <v>4</v>
      </c>
      <c r="C4" s="1"/>
      <c r="D4" s="1"/>
      <c r="E4" s="1"/>
      <c r="F4" s="1"/>
      <c r="G4" s="1"/>
    </row>
    <row r="5" spans="1:10" ht="13.5">
      <c r="A5" s="1" t="s">
        <v>5</v>
      </c>
      <c r="B5" s="1" t="s">
        <v>86</v>
      </c>
      <c r="C5" s="1"/>
      <c r="D5" s="1"/>
      <c r="E5" s="1"/>
      <c r="F5" s="1"/>
      <c r="G5" s="1"/>
    </row>
    <row r="6" spans="1:10" ht="13.5">
      <c r="A6" s="1"/>
      <c r="B6" s="1"/>
      <c r="C6" s="1"/>
      <c r="D6" s="1"/>
      <c r="E6" s="1"/>
      <c r="F6" s="1"/>
      <c r="G6" s="1"/>
    </row>
    <row r="7" spans="1:10" s="1" customFormat="1" ht="13.5">
      <c r="A7" s="44" t="s">
        <v>87</v>
      </c>
      <c r="B7" s="41"/>
      <c r="C7" s="41"/>
      <c r="D7" s="41"/>
      <c r="E7" s="41"/>
      <c r="F7" s="41"/>
      <c r="G7" s="41"/>
      <c r="H7" s="41"/>
      <c r="I7" s="41"/>
      <c r="J7" s="41"/>
    </row>
    <row r="8" spans="1:10" s="1" customFormat="1" ht="13.5">
      <c r="A8" s="1" t="s">
        <v>88</v>
      </c>
    </row>
    <row r="9" spans="1:10" s="1" customFormat="1" ht="13.5">
      <c r="A9" s="1" t="s">
        <v>89</v>
      </c>
    </row>
    <row r="10" spans="1:10" s="1" customFormat="1" ht="13.5">
      <c r="A10" s="1" t="s">
        <v>90</v>
      </c>
    </row>
    <row r="11" spans="1:10" s="1" customFormat="1" ht="13.5"/>
    <row r="12" spans="1:10" s="1" customFormat="1" ht="13.5">
      <c r="A12" s="44" t="s">
        <v>91</v>
      </c>
      <c r="B12" s="41"/>
      <c r="C12" s="41"/>
      <c r="D12" s="41"/>
      <c r="E12" s="41"/>
      <c r="F12" s="41"/>
      <c r="G12" s="41"/>
      <c r="H12" s="41"/>
      <c r="I12" s="41"/>
      <c r="J12" s="41"/>
    </row>
    <row r="13" spans="1:10" s="1" customFormat="1" ht="13.5">
      <c r="A13" s="1" t="s">
        <v>92</v>
      </c>
    </row>
    <row r="14" spans="1:10" s="1" customFormat="1" ht="13.5"/>
    <row r="15" spans="1:10" s="1" customFormat="1" ht="13.5">
      <c r="A15" s="44" t="s">
        <v>93</v>
      </c>
      <c r="B15" s="41"/>
      <c r="C15" s="41"/>
      <c r="D15" s="41"/>
      <c r="E15" s="41"/>
      <c r="F15" s="41"/>
      <c r="G15" s="41"/>
      <c r="H15" s="41"/>
      <c r="I15" s="41"/>
      <c r="J15" s="41"/>
    </row>
    <row r="16" spans="1:10" s="1" customFormat="1" ht="13.5">
      <c r="A16" s="1" t="s">
        <v>94</v>
      </c>
    </row>
    <row r="17" spans="1:13" s="1" customFormat="1" ht="13.5"/>
    <row r="18" spans="1:13" s="1" customFormat="1" ht="13.5">
      <c r="A18" s="44" t="s">
        <v>10</v>
      </c>
      <c r="B18" s="44"/>
      <c r="C18" s="45" t="s">
        <v>11</v>
      </c>
      <c r="E18" s="44" t="s">
        <v>42</v>
      </c>
      <c r="F18" s="48"/>
      <c r="G18" s="54" t="s">
        <v>31</v>
      </c>
      <c r="H18" s="45" t="s">
        <v>11</v>
      </c>
    </row>
    <row r="19" spans="1:13" s="1" customFormat="1" ht="13.5">
      <c r="A19" s="1" t="s">
        <v>95</v>
      </c>
      <c r="C19" s="38" t="s">
        <v>96</v>
      </c>
      <c r="E19" s="46" t="s">
        <v>97</v>
      </c>
      <c r="F19" s="2"/>
      <c r="G19" s="16">
        <v>299800000</v>
      </c>
      <c r="H19" s="16" t="s">
        <v>46</v>
      </c>
    </row>
    <row r="20" spans="1:13" ht="13.5">
      <c r="A20" s="1" t="s">
        <v>98</v>
      </c>
      <c r="B20" s="1"/>
      <c r="C20" s="16" t="s">
        <v>99</v>
      </c>
      <c r="E20" s="46" t="s">
        <v>49</v>
      </c>
      <c r="F20" s="2"/>
      <c r="G20" s="16">
        <v>8.8539999999999992E-12</v>
      </c>
      <c r="H20" s="16" t="s">
        <v>50</v>
      </c>
      <c r="K20" s="6"/>
      <c r="L20" s="6"/>
      <c r="M20" s="6"/>
    </row>
    <row r="21" spans="1:13" ht="13.5">
      <c r="E21" s="46" t="s">
        <v>53</v>
      </c>
      <c r="F21" s="2"/>
      <c r="G21" s="16">
        <f>4*PI()*0.0000001</f>
        <v>1.2566370614359173E-6</v>
      </c>
      <c r="H21" s="16" t="s">
        <v>54</v>
      </c>
      <c r="K21" s="6"/>
      <c r="L21" s="6"/>
      <c r="M21" s="6"/>
    </row>
    <row r="22" spans="1:13" ht="13.5">
      <c r="A22" s="1"/>
      <c r="B22" s="1"/>
      <c r="C22" s="5"/>
      <c r="D22" s="31"/>
      <c r="E22" s="31"/>
      <c r="K22" s="6"/>
      <c r="L22" s="6"/>
      <c r="M22" s="6"/>
    </row>
    <row r="23" spans="1:13" ht="13.5">
      <c r="A23" s="44" t="s">
        <v>30</v>
      </c>
      <c r="B23" s="44"/>
      <c r="C23" s="28" t="s">
        <v>31</v>
      </c>
      <c r="D23" s="56" t="s">
        <v>11</v>
      </c>
      <c r="E23" s="57" t="s">
        <v>32</v>
      </c>
      <c r="F23" s="41"/>
      <c r="G23" s="41"/>
      <c r="H23" s="41"/>
      <c r="I23" s="41"/>
      <c r="J23" s="41"/>
      <c r="K23" s="6"/>
      <c r="L23" s="6"/>
      <c r="M23" s="6"/>
    </row>
    <row r="24" spans="1:13" ht="13.5">
      <c r="A24" s="46" t="s">
        <v>202</v>
      </c>
      <c r="B24" s="1"/>
      <c r="C24" s="33" t="s">
        <v>101</v>
      </c>
      <c r="D24" s="15" t="s">
        <v>102</v>
      </c>
      <c r="E24" s="58" t="s">
        <v>234</v>
      </c>
      <c r="K24" s="6"/>
      <c r="L24" s="6"/>
      <c r="M24" s="6"/>
    </row>
    <row r="25" spans="1:13" ht="13.5">
      <c r="A25" s="46" t="s">
        <v>203</v>
      </c>
      <c r="B25" s="1"/>
      <c r="C25" s="33" t="s">
        <v>101</v>
      </c>
      <c r="D25" s="15" t="s">
        <v>102</v>
      </c>
      <c r="E25" s="58" t="s">
        <v>233</v>
      </c>
      <c r="F25" s="1"/>
      <c r="G25" s="1"/>
      <c r="H25" s="1"/>
      <c r="I25" s="1"/>
      <c r="K25" s="6"/>
      <c r="L25" s="6"/>
      <c r="M25" s="6"/>
    </row>
    <row r="26" spans="1:13" ht="13.5">
      <c r="A26" s="1" t="s">
        <v>104</v>
      </c>
      <c r="B26" s="1"/>
      <c r="C26" s="33" t="s">
        <v>101</v>
      </c>
      <c r="D26" s="15" t="s">
        <v>99</v>
      </c>
      <c r="E26" s="16" t="s">
        <v>105</v>
      </c>
      <c r="F26" s="1"/>
      <c r="G26" s="1"/>
      <c r="H26" s="1"/>
      <c r="K26" s="6"/>
      <c r="L26" s="6"/>
      <c r="M26" s="6"/>
    </row>
    <row r="27" spans="1:13" ht="13.5">
      <c r="A27" s="1" t="s">
        <v>106</v>
      </c>
      <c r="C27" s="86">
        <f>G19/(C26*2*SQRT(C24*C25))</f>
        <v>149900000</v>
      </c>
      <c r="D27" s="55" t="s">
        <v>96</v>
      </c>
      <c r="E27" s="16" t="s">
        <v>107</v>
      </c>
      <c r="F27" s="1"/>
      <c r="G27" s="1"/>
      <c r="H27" s="1"/>
      <c r="K27" s="6"/>
      <c r="L27" s="6"/>
      <c r="M27" s="6"/>
    </row>
    <row r="28" spans="1:13" ht="13.5">
      <c r="E28" s="1"/>
      <c r="J28" s="6"/>
      <c r="K28" s="6"/>
      <c r="L28" s="6"/>
      <c r="M28" s="6"/>
    </row>
    <row r="29" spans="1:13" ht="13.5">
      <c r="G29" s="9"/>
      <c r="H29" s="9"/>
      <c r="I29" s="9"/>
      <c r="J29" s="9"/>
      <c r="K29" s="6"/>
      <c r="L29" s="6"/>
      <c r="M29" s="6"/>
    </row>
    <row r="30" spans="1:13" ht="13.5">
      <c r="G30" s="9"/>
      <c r="H30" s="9"/>
      <c r="I30" s="9"/>
      <c r="J30" s="9"/>
      <c r="K30" s="6"/>
      <c r="L30" s="6"/>
      <c r="M30" s="6"/>
    </row>
    <row r="31" spans="1:13" ht="13.5">
      <c r="G31" s="27"/>
      <c r="H31" s="6"/>
      <c r="I31" s="6"/>
      <c r="J31" s="6"/>
      <c r="K31" s="6"/>
      <c r="L31" s="6"/>
      <c r="M31" s="6"/>
    </row>
    <row r="33" spans="5:8" s="22" customFormat="1">
      <c r="G33" s="10"/>
      <c r="H33" s="10"/>
    </row>
    <row r="39" spans="5:8">
      <c r="E39" s="26"/>
    </row>
    <row r="40" spans="5:8">
      <c r="E40" s="26"/>
    </row>
    <row r="41" spans="5:8">
      <c r="E41" s="26"/>
    </row>
    <row r="52" spans="1:6">
      <c r="E52" s="26"/>
    </row>
    <row r="53" spans="1:6">
      <c r="E53" s="26"/>
    </row>
    <row r="54" spans="1:6">
      <c r="E54" s="26"/>
    </row>
    <row r="55" spans="1:6">
      <c r="E55" s="26"/>
    </row>
    <row r="56" spans="1:6">
      <c r="E56" s="26"/>
    </row>
    <row r="57" spans="1:6">
      <c r="E57" s="26"/>
    </row>
    <row r="58" spans="1:6">
      <c r="E58" s="26"/>
    </row>
    <row r="59" spans="1:6">
      <c r="E59" s="26"/>
    </row>
    <row r="60" spans="1:6">
      <c r="E60" s="26"/>
    </row>
    <row r="61" spans="1:6">
      <c r="E61" s="26"/>
    </row>
    <row r="62" spans="1:6">
      <c r="E62" s="26"/>
    </row>
    <row r="63" spans="1:6">
      <c r="A63" s="17"/>
      <c r="B63" s="17"/>
      <c r="C63" s="17"/>
      <c r="D63" s="17"/>
      <c r="E63" s="34"/>
      <c r="F63" s="17"/>
    </row>
    <row r="64" spans="1:6" ht="54">
      <c r="A64" s="290" t="s">
        <v>108</v>
      </c>
      <c r="B64" s="290"/>
      <c r="C64" s="291"/>
      <c r="D64" s="59" t="s">
        <v>109</v>
      </c>
      <c r="E64" s="292" t="s">
        <v>110</v>
      </c>
      <c r="F64" s="293"/>
    </row>
    <row r="65" spans="1:11" ht="40.5">
      <c r="A65" s="60" t="s">
        <v>111</v>
      </c>
      <c r="B65" s="60" t="s">
        <v>112</v>
      </c>
      <c r="C65" s="61" t="s">
        <v>113</v>
      </c>
      <c r="D65" s="62" t="s">
        <v>114</v>
      </c>
      <c r="E65" s="63" t="s">
        <v>114</v>
      </c>
      <c r="F65" s="64" t="s">
        <v>115</v>
      </c>
      <c r="K65" s="118"/>
    </row>
    <row r="66" spans="1:11" ht="13.5">
      <c r="A66" s="65">
        <v>10000</v>
      </c>
      <c r="B66" s="20">
        <f t="shared" ref="B66:B73" si="0">$G$19/(A66*SQRT($C$24*$C$25))</f>
        <v>29980</v>
      </c>
      <c r="C66" s="2">
        <f t="shared" ref="C66:C73" si="1">B66/2</f>
        <v>14990</v>
      </c>
      <c r="D66" s="66">
        <f t="shared" ref="D66:D73" si="2">B66/(2*PI())</f>
        <v>4771.4651938950219</v>
      </c>
      <c r="E66" s="67">
        <f t="shared" ref="E66:E73" si="3">0.62*SQRT($C$26*$C$26*$C$26/B66)</f>
        <v>3.580765456458918E-3</v>
      </c>
      <c r="F66" s="67">
        <f t="shared" ref="F66:F73" si="4">(2*$C$26*$C$26)/B66</f>
        <v>6.6711140760507002E-5</v>
      </c>
    </row>
    <row r="67" spans="1:11" ht="13.5">
      <c r="A67" s="65">
        <v>100000</v>
      </c>
      <c r="B67" s="20">
        <f t="shared" si="0"/>
        <v>2998</v>
      </c>
      <c r="C67" s="2">
        <f t="shared" si="1"/>
        <v>1499</v>
      </c>
      <c r="D67" s="66">
        <f t="shared" si="2"/>
        <v>477.14651938950226</v>
      </c>
      <c r="E67" s="67">
        <f t="shared" si="3"/>
        <v>1.1323374609262665E-2</v>
      </c>
      <c r="F67" s="67">
        <f t="shared" si="4"/>
        <v>6.6711140760506999E-4</v>
      </c>
    </row>
    <row r="68" spans="1:11" ht="13.5">
      <c r="A68" s="65">
        <v>1000000</v>
      </c>
      <c r="B68" s="20">
        <f t="shared" si="0"/>
        <v>299.8</v>
      </c>
      <c r="C68" s="2">
        <f t="shared" si="1"/>
        <v>149.9</v>
      </c>
      <c r="D68" s="66">
        <f t="shared" si="2"/>
        <v>47.714651938950226</v>
      </c>
      <c r="E68" s="67">
        <f t="shared" si="3"/>
        <v>3.5807654564589182E-2</v>
      </c>
      <c r="F68" s="67">
        <f t="shared" si="4"/>
        <v>6.6711140760507001E-3</v>
      </c>
    </row>
    <row r="69" spans="1:11" ht="13.5">
      <c r="A69" s="65">
        <v>10000000</v>
      </c>
      <c r="B69" s="20">
        <f t="shared" si="0"/>
        <v>29.98</v>
      </c>
      <c r="C69" s="2">
        <f t="shared" si="1"/>
        <v>14.99</v>
      </c>
      <c r="D69" s="66">
        <f t="shared" si="2"/>
        <v>4.7714651938950228</v>
      </c>
      <c r="E69" s="67">
        <f t="shared" si="3"/>
        <v>0.11323374609262668</v>
      </c>
      <c r="F69" s="67">
        <f t="shared" si="4"/>
        <v>6.6711140760507007E-2</v>
      </c>
    </row>
    <row r="70" spans="1:11" ht="13.5">
      <c r="A70" s="65">
        <v>100000000</v>
      </c>
      <c r="B70" s="20">
        <f t="shared" si="0"/>
        <v>2.9980000000000002</v>
      </c>
      <c r="C70" s="2">
        <f t="shared" si="1"/>
        <v>1.4990000000000001</v>
      </c>
      <c r="D70" s="66">
        <f t="shared" si="2"/>
        <v>0.47714651938950225</v>
      </c>
      <c r="E70" s="67">
        <f t="shared" si="3"/>
        <v>0.35807654564589186</v>
      </c>
      <c r="F70" s="67">
        <f t="shared" si="4"/>
        <v>0.66711140760507004</v>
      </c>
    </row>
    <row r="71" spans="1:11" ht="13.5">
      <c r="A71" s="65">
        <v>1000000000</v>
      </c>
      <c r="B71" s="20">
        <f t="shared" si="0"/>
        <v>0.29980000000000001</v>
      </c>
      <c r="C71" s="2">
        <f t="shared" si="1"/>
        <v>0.14990000000000001</v>
      </c>
      <c r="D71" s="66">
        <f t="shared" si="2"/>
        <v>4.7714651938950227E-2</v>
      </c>
      <c r="E71" s="67">
        <f t="shared" si="3"/>
        <v>1.1323374609262666</v>
      </c>
      <c r="F71" s="67">
        <f t="shared" si="4"/>
        <v>6.6711140760507002</v>
      </c>
    </row>
    <row r="72" spans="1:11" ht="13.5">
      <c r="A72" s="65">
        <v>10000000000</v>
      </c>
      <c r="B72" s="20">
        <f t="shared" si="0"/>
        <v>2.998E-2</v>
      </c>
      <c r="C72" s="2">
        <f t="shared" si="1"/>
        <v>1.499E-2</v>
      </c>
      <c r="D72" s="66">
        <f t="shared" si="2"/>
        <v>4.7714651938950223E-3</v>
      </c>
      <c r="E72" s="67">
        <f t="shared" si="3"/>
        <v>3.5807654564589182</v>
      </c>
      <c r="F72" s="67">
        <f t="shared" si="4"/>
        <v>66.711140760507007</v>
      </c>
    </row>
    <row r="73" spans="1:11" ht="13.5">
      <c r="A73" s="68">
        <v>100000000000</v>
      </c>
      <c r="B73" s="20">
        <f t="shared" si="0"/>
        <v>2.9979999999999998E-3</v>
      </c>
      <c r="C73" s="69">
        <f t="shared" si="1"/>
        <v>1.4989999999999999E-3</v>
      </c>
      <c r="D73" s="66">
        <f t="shared" si="2"/>
        <v>4.7714651938950218E-4</v>
      </c>
      <c r="E73" s="66">
        <f t="shared" si="3"/>
        <v>11.323374609262666</v>
      </c>
      <c r="F73" s="66">
        <f t="shared" si="4"/>
        <v>667.1114076050701</v>
      </c>
    </row>
    <row r="74" spans="1:11" ht="13.5">
      <c r="A74" s="68"/>
      <c r="B74" s="20"/>
      <c r="C74" s="69"/>
      <c r="D74" s="69"/>
      <c r="E74" s="69"/>
      <c r="F74" s="69"/>
    </row>
    <row r="75" spans="1:11" ht="13.5">
      <c r="A75" s="68" t="s">
        <v>210</v>
      </c>
      <c r="B75" s="20"/>
      <c r="C75" s="69"/>
      <c r="D75" s="69"/>
      <c r="E75" s="69"/>
      <c r="F75" s="69"/>
    </row>
    <row r="76" spans="1:11" ht="13.5">
      <c r="A76" s="294" t="s">
        <v>214</v>
      </c>
      <c r="B76" s="294"/>
      <c r="C76" s="294"/>
      <c r="D76" s="294"/>
      <c r="E76" s="294"/>
      <c r="F76" s="294"/>
      <c r="G76" s="294"/>
      <c r="H76" s="294"/>
      <c r="I76" s="294"/>
      <c r="J76" s="294"/>
    </row>
    <row r="77" spans="1:11" ht="13.5">
      <c r="A77" s="68"/>
      <c r="B77" s="20"/>
      <c r="C77" s="69"/>
      <c r="D77" s="69"/>
      <c r="E77" s="69"/>
      <c r="F77" s="69"/>
    </row>
    <row r="78" spans="1:11" ht="21" customHeight="1">
      <c r="A78" s="287" t="s">
        <v>37</v>
      </c>
      <c r="B78" s="287"/>
      <c r="C78" s="287"/>
      <c r="D78" s="287"/>
      <c r="E78" s="287"/>
      <c r="F78" s="287"/>
      <c r="G78" s="287"/>
      <c r="H78" s="287"/>
      <c r="I78" s="287"/>
      <c r="J78" s="287"/>
    </row>
    <row r="79" spans="1:11" ht="12" customHeight="1">
      <c r="A79" s="85"/>
      <c r="B79" s="85"/>
      <c r="C79" s="85"/>
      <c r="D79" s="85"/>
      <c r="E79" s="85"/>
      <c r="F79" s="85"/>
    </row>
    <row r="80" spans="1:11">
      <c r="A80" s="85"/>
      <c r="B80" s="85"/>
      <c r="C80" s="85"/>
      <c r="D80" s="85"/>
      <c r="E80" s="85"/>
      <c r="F80" s="85"/>
    </row>
    <row r="81" spans="1:6">
      <c r="A81" s="85"/>
      <c r="B81" s="85"/>
      <c r="C81" s="85"/>
      <c r="D81" s="85"/>
      <c r="E81" s="85"/>
      <c r="F81" s="85"/>
    </row>
    <row r="82" spans="1:6" ht="13.5">
      <c r="A82" s="70"/>
    </row>
    <row r="83" spans="1:6" ht="13.5">
      <c r="A83" s="25"/>
    </row>
    <row r="84" spans="1:6" ht="13.5">
      <c r="A84" s="24"/>
    </row>
    <row r="85" spans="1:6" ht="13.5">
      <c r="A85" s="24"/>
    </row>
    <row r="86" spans="1:6" ht="13.5">
      <c r="A86" s="25"/>
    </row>
    <row r="87" spans="1:6" ht="13.5">
      <c r="A87" s="24"/>
    </row>
    <row r="88" spans="1:6" ht="13.5">
      <c r="A88" s="24"/>
    </row>
    <row r="89" spans="1:6" ht="13.5">
      <c r="A89" s="25"/>
    </row>
    <row r="90" spans="1:6" ht="13.5">
      <c r="A90" s="24"/>
    </row>
    <row r="91" spans="1:6" ht="13.5">
      <c r="A91" s="24"/>
    </row>
    <row r="92" spans="1:6" ht="13.5">
      <c r="A92" s="25"/>
    </row>
    <row r="93" spans="1:6" ht="13.5">
      <c r="A93" s="24"/>
    </row>
    <row r="94" spans="1:6" ht="13.5">
      <c r="A94" s="24"/>
    </row>
    <row r="95" spans="1:6" ht="13.5">
      <c r="A95" s="25"/>
    </row>
    <row r="96" spans="1:6" ht="13.5">
      <c r="A96" s="24"/>
    </row>
    <row r="97" spans="1:1" ht="13.5">
      <c r="A97" s="24"/>
    </row>
    <row r="98" spans="1:1" ht="13.5">
      <c r="A98" s="25"/>
    </row>
    <row r="99" spans="1:1" ht="13.5">
      <c r="A99" s="24"/>
    </row>
    <row r="100" spans="1:1" ht="13.5">
      <c r="A100" s="24"/>
    </row>
    <row r="101" spans="1:1" ht="13.5">
      <c r="A101" s="25"/>
    </row>
    <row r="102" spans="1:1" ht="13.5">
      <c r="A102" s="24"/>
    </row>
    <row r="103" spans="1:1" ht="13.5">
      <c r="A103" s="24"/>
    </row>
    <row r="104" spans="1:1" ht="13.5">
      <c r="A104" s="25"/>
    </row>
    <row r="105" spans="1:1" ht="13.5">
      <c r="A105" s="24"/>
    </row>
    <row r="106" spans="1:1" ht="13.5">
      <c r="A106" s="24"/>
    </row>
    <row r="107" spans="1:1" ht="13.5">
      <c r="A107" s="25"/>
    </row>
    <row r="108" spans="1:1" ht="13.5">
      <c r="A108" s="24"/>
    </row>
    <row r="109" spans="1:1" ht="13.5">
      <c r="A109" s="24"/>
    </row>
    <row r="110" spans="1:1" ht="13.5">
      <c r="A110" s="25"/>
    </row>
    <row r="111" spans="1:1" ht="13.5">
      <c r="A111" s="24"/>
    </row>
    <row r="112" spans="1:1" ht="13.5">
      <c r="A112" s="24"/>
    </row>
    <row r="113" spans="1:1" ht="13.5">
      <c r="A113" s="25"/>
    </row>
    <row r="114" spans="1:1" ht="13.5">
      <c r="A114" s="24"/>
    </row>
    <row r="115" spans="1:1" ht="13.5">
      <c r="A115" s="24"/>
    </row>
    <row r="116" spans="1:1" ht="13.5">
      <c r="A116" s="25"/>
    </row>
    <row r="117" spans="1:1" ht="13.5">
      <c r="A117" s="24"/>
    </row>
    <row r="118" spans="1:1" ht="13.5">
      <c r="A118" s="24"/>
    </row>
    <row r="119" spans="1:1" ht="13.5">
      <c r="A119" s="25"/>
    </row>
    <row r="120" spans="1:1" ht="13.5">
      <c r="A120" s="24"/>
    </row>
    <row r="121" spans="1:1" ht="13.5">
      <c r="A121" s="24"/>
    </row>
    <row r="122" spans="1:1" ht="13.5">
      <c r="A122" s="25"/>
    </row>
    <row r="123" spans="1:1" ht="13.5">
      <c r="A123" s="24"/>
    </row>
    <row r="124" spans="1:1" ht="13.5">
      <c r="A124" s="24"/>
    </row>
    <row r="125" spans="1:1" ht="13.5">
      <c r="A125" s="25"/>
    </row>
    <row r="126" spans="1:1" ht="13.5">
      <c r="A126" s="24"/>
    </row>
    <row r="127" spans="1:1" ht="13.5">
      <c r="A127" s="24"/>
    </row>
    <row r="128" spans="1:1" ht="13.5">
      <c r="A128" s="25"/>
    </row>
    <row r="129" spans="1:1" ht="13.5">
      <c r="A129" s="24"/>
    </row>
    <row r="130" spans="1:1" ht="13.5">
      <c r="A130" s="24"/>
    </row>
    <row r="131" spans="1:1" ht="13.5">
      <c r="A131" s="25"/>
    </row>
    <row r="132" spans="1:1" ht="13.5">
      <c r="A132" s="24"/>
    </row>
    <row r="133" spans="1:1" ht="13.5">
      <c r="A133" s="24"/>
    </row>
    <row r="134" spans="1:1" ht="13.5">
      <c r="A134" s="25"/>
    </row>
    <row r="135" spans="1:1" ht="13.5">
      <c r="A135" s="24"/>
    </row>
    <row r="136" spans="1:1" ht="13.5">
      <c r="A136" s="24"/>
    </row>
    <row r="137" spans="1:1" ht="13.5">
      <c r="A137" s="25"/>
    </row>
    <row r="138" spans="1:1" ht="13.5">
      <c r="A138" s="24"/>
    </row>
    <row r="139" spans="1:1" ht="13.5">
      <c r="A139" s="24"/>
    </row>
    <row r="140" spans="1:1" ht="13.5">
      <c r="A140" s="25"/>
    </row>
    <row r="141" spans="1:1" ht="13.5">
      <c r="A141" s="24"/>
    </row>
    <row r="142" spans="1:1" ht="13.5">
      <c r="A142" s="24"/>
    </row>
    <row r="143" spans="1:1" ht="13.5">
      <c r="A143" s="25"/>
    </row>
    <row r="144" spans="1:1" ht="13.5">
      <c r="A144" s="24"/>
    </row>
    <row r="145" spans="1:1" ht="13.5">
      <c r="A145" s="24"/>
    </row>
    <row r="146" spans="1:1" ht="13.5">
      <c r="A146" s="25"/>
    </row>
    <row r="147" spans="1:1" ht="13.5">
      <c r="A147" s="24"/>
    </row>
    <row r="148" spans="1:1" ht="13.5">
      <c r="A148" s="24"/>
    </row>
    <row r="149" spans="1:1" ht="13.5">
      <c r="A149" s="25"/>
    </row>
    <row r="150" spans="1:1" ht="13.5">
      <c r="A150" s="24"/>
    </row>
    <row r="151" spans="1:1" ht="13.5">
      <c r="A151" s="24"/>
    </row>
    <row r="152" spans="1:1" ht="13.5">
      <c r="A152" s="25"/>
    </row>
    <row r="153" spans="1:1" ht="13.5">
      <c r="A153" s="24"/>
    </row>
    <row r="154" spans="1:1" ht="13.5">
      <c r="A154" s="24"/>
    </row>
    <row r="155" spans="1:1" ht="13.5">
      <c r="A155" s="25"/>
    </row>
    <row r="156" spans="1:1" ht="13.5">
      <c r="A156" s="24"/>
    </row>
    <row r="157" spans="1:1" ht="13.5">
      <c r="A157" s="24"/>
    </row>
    <row r="158" spans="1:1" ht="13.5">
      <c r="A158" s="25"/>
    </row>
    <row r="159" spans="1:1" ht="13.5">
      <c r="A159" s="24"/>
    </row>
    <row r="160" spans="1:1" ht="13.5">
      <c r="A160" s="24"/>
    </row>
    <row r="161" spans="1:1" ht="13.5">
      <c r="A161" s="25"/>
    </row>
    <row r="162" spans="1:1" ht="13.5">
      <c r="A162" s="24"/>
    </row>
    <row r="163" spans="1:1" ht="13.5">
      <c r="A163" s="24"/>
    </row>
    <row r="164" spans="1:1" ht="13.5">
      <c r="A164" s="25"/>
    </row>
    <row r="165" spans="1:1" ht="13.5">
      <c r="A165" s="24"/>
    </row>
    <row r="166" spans="1:1" ht="13.5">
      <c r="A166" s="24"/>
    </row>
    <row r="167" spans="1:1" ht="13.5">
      <c r="A167" s="25"/>
    </row>
    <row r="168" spans="1:1" ht="13.5">
      <c r="A168" s="24"/>
    </row>
    <row r="169" spans="1:1" ht="13.5">
      <c r="A169" s="24"/>
    </row>
    <row r="170" spans="1:1" ht="13.5">
      <c r="A170" s="25"/>
    </row>
    <row r="171" spans="1:1" ht="13.5">
      <c r="A171" s="24"/>
    </row>
    <row r="172" spans="1:1" ht="13.5">
      <c r="A172" s="24"/>
    </row>
    <row r="173" spans="1:1" ht="13.5">
      <c r="A173" s="25"/>
    </row>
    <row r="174" spans="1:1" ht="13.5">
      <c r="A174" s="24"/>
    </row>
    <row r="175" spans="1:1" ht="13.5">
      <c r="A175" s="24"/>
    </row>
    <row r="176" spans="1:1" ht="13.5">
      <c r="A176" s="25"/>
    </row>
    <row r="177" spans="1:1" ht="13.5">
      <c r="A177" s="24"/>
    </row>
    <row r="178" spans="1:1" ht="13.5">
      <c r="A178" s="24"/>
    </row>
    <row r="179" spans="1:1" ht="13.5">
      <c r="A179" s="25"/>
    </row>
    <row r="180" spans="1:1" ht="13.5">
      <c r="A180" s="24"/>
    </row>
    <row r="181" spans="1:1" ht="13.5">
      <c r="A181" s="24"/>
    </row>
    <row r="182" spans="1:1" ht="13.5">
      <c r="A182" s="25"/>
    </row>
    <row r="183" spans="1:1" ht="13.5">
      <c r="A183" s="24"/>
    </row>
    <row r="184" spans="1:1" ht="13.5">
      <c r="A184" s="24"/>
    </row>
    <row r="185" spans="1:1" ht="13.5">
      <c r="A185" s="25"/>
    </row>
    <row r="186" spans="1:1" ht="13.5">
      <c r="A186" s="24"/>
    </row>
    <row r="187" spans="1:1" ht="13.5">
      <c r="A187" s="24"/>
    </row>
    <row r="188" spans="1:1" ht="13.5">
      <c r="A188" s="25"/>
    </row>
    <row r="189" spans="1:1" ht="13.5">
      <c r="A189" s="24"/>
    </row>
    <row r="190" spans="1:1" ht="13.5">
      <c r="A190" s="24"/>
    </row>
    <row r="191" spans="1:1" ht="13.5">
      <c r="A191" s="25"/>
    </row>
    <row r="192" spans="1:1" ht="13.5">
      <c r="A192" s="24"/>
    </row>
    <row r="193" spans="1:1" ht="13.5">
      <c r="A193" s="24"/>
    </row>
    <row r="194" spans="1:1" ht="13.5">
      <c r="A194" s="25"/>
    </row>
    <row r="195" spans="1:1" ht="13.5">
      <c r="A195" s="24"/>
    </row>
    <row r="196" spans="1:1" ht="13.5">
      <c r="A196" s="24"/>
    </row>
    <row r="197" spans="1:1" ht="13.5">
      <c r="A197" s="25"/>
    </row>
    <row r="198" spans="1:1" ht="13.5">
      <c r="A198" s="24"/>
    </row>
    <row r="199" spans="1:1" ht="13.5">
      <c r="A199" s="24"/>
    </row>
    <row r="200" spans="1:1" ht="13.5">
      <c r="A200" s="25"/>
    </row>
    <row r="201" spans="1:1" ht="13.5">
      <c r="A201" s="24"/>
    </row>
    <row r="202" spans="1:1" ht="13.5">
      <c r="A202" s="24"/>
    </row>
    <row r="203" spans="1:1" ht="13.5">
      <c r="A203" s="25"/>
    </row>
    <row r="204" spans="1:1" ht="13.5">
      <c r="A204" s="24"/>
    </row>
    <row r="205" spans="1:1" ht="13.5">
      <c r="A205" s="24"/>
    </row>
    <row r="206" spans="1:1" ht="13.5">
      <c r="A206" s="25"/>
    </row>
    <row r="207" spans="1:1" ht="13.5">
      <c r="A207" s="24"/>
    </row>
    <row r="208" spans="1:1" ht="13.5">
      <c r="A208" s="24"/>
    </row>
    <row r="209" spans="1:1" ht="13.5">
      <c r="A209" s="25"/>
    </row>
    <row r="210" spans="1:1" ht="13.5">
      <c r="A210" s="24"/>
    </row>
    <row r="211" spans="1:1" ht="13.5">
      <c r="A211" s="24"/>
    </row>
    <row r="212" spans="1:1" ht="13.5">
      <c r="A212" s="25"/>
    </row>
    <row r="213" spans="1:1" ht="13.5">
      <c r="A213" s="24"/>
    </row>
    <row r="214" spans="1:1" ht="13.5">
      <c r="A214" s="24"/>
    </row>
    <row r="215" spans="1:1" ht="13.5">
      <c r="A215" s="25"/>
    </row>
    <row r="216" spans="1:1" ht="13.5">
      <c r="A216" s="24"/>
    </row>
    <row r="217" spans="1:1" ht="13.5">
      <c r="A217" s="24"/>
    </row>
    <row r="218" spans="1:1" ht="13.5">
      <c r="A218" s="25"/>
    </row>
    <row r="219" spans="1:1" ht="13.5">
      <c r="A219" s="24"/>
    </row>
    <row r="220" spans="1:1" ht="13.5">
      <c r="A220" s="24"/>
    </row>
    <row r="221" spans="1:1" ht="13.5">
      <c r="A221" s="25"/>
    </row>
    <row r="222" spans="1:1" ht="13.5">
      <c r="A222" s="24"/>
    </row>
    <row r="223" spans="1:1" ht="13.5">
      <c r="A223" s="24"/>
    </row>
    <row r="224" spans="1:1" ht="13.5">
      <c r="A224" s="25"/>
    </row>
    <row r="225" spans="1:1" ht="13.5">
      <c r="A225" s="24"/>
    </row>
    <row r="226" spans="1:1" ht="13.5">
      <c r="A226" s="24"/>
    </row>
    <row r="227" spans="1:1" ht="13.5">
      <c r="A227" s="25"/>
    </row>
    <row r="228" spans="1:1" ht="13.5">
      <c r="A228" s="24"/>
    </row>
    <row r="229" spans="1:1" ht="13.5">
      <c r="A229" s="24"/>
    </row>
    <row r="230" spans="1:1" ht="13.5">
      <c r="A230" s="25"/>
    </row>
    <row r="231" spans="1:1" ht="13.5">
      <c r="A231" s="24"/>
    </row>
    <row r="232" spans="1:1" ht="13.5">
      <c r="A232" s="24"/>
    </row>
    <row r="233" spans="1:1" ht="13.5">
      <c r="A233" s="25"/>
    </row>
    <row r="234" spans="1:1" ht="13.5">
      <c r="A234" s="24"/>
    </row>
    <row r="235" spans="1:1" ht="13.5">
      <c r="A235" s="24"/>
    </row>
    <row r="236" spans="1:1" ht="13.5">
      <c r="A236" s="25"/>
    </row>
    <row r="237" spans="1:1" ht="13.5">
      <c r="A237" s="24"/>
    </row>
    <row r="238" spans="1:1" ht="13.5">
      <c r="A238" s="24"/>
    </row>
    <row r="239" spans="1:1" ht="13.5">
      <c r="A239" s="25"/>
    </row>
    <row r="240" spans="1:1" ht="13.5">
      <c r="A240" s="24"/>
    </row>
    <row r="241" spans="1:1" ht="13.5">
      <c r="A241" s="24"/>
    </row>
    <row r="242" spans="1:1" ht="13.5">
      <c r="A242" s="25"/>
    </row>
    <row r="243" spans="1:1" ht="13.5">
      <c r="A243" s="24"/>
    </row>
    <row r="244" spans="1:1" ht="13.5">
      <c r="A244" s="24"/>
    </row>
    <row r="245" spans="1:1" ht="13.5">
      <c r="A245" s="25"/>
    </row>
    <row r="246" spans="1:1" ht="13.5">
      <c r="A246" s="24"/>
    </row>
    <row r="247" spans="1:1" ht="13.5">
      <c r="A247" s="24"/>
    </row>
    <row r="248" spans="1:1" ht="13.5">
      <c r="A248" s="25"/>
    </row>
    <row r="249" spans="1:1" ht="13.5">
      <c r="A249" s="24"/>
    </row>
    <row r="250" spans="1:1" ht="13.5">
      <c r="A250" s="24"/>
    </row>
    <row r="251" spans="1:1" ht="13.5">
      <c r="A251" s="25"/>
    </row>
    <row r="252" spans="1:1" ht="13.5">
      <c r="A252" s="24"/>
    </row>
    <row r="253" spans="1:1" ht="13.5">
      <c r="A253" s="24"/>
    </row>
    <row r="254" spans="1:1" ht="13.5">
      <c r="A254" s="25"/>
    </row>
    <row r="255" spans="1:1" ht="13.5">
      <c r="A255" s="24"/>
    </row>
    <row r="256" spans="1:1" ht="13.5">
      <c r="A256" s="24"/>
    </row>
    <row r="257" spans="1:1" ht="13.5">
      <c r="A257" s="25"/>
    </row>
    <row r="258" spans="1:1" ht="13.5">
      <c r="A258" s="24"/>
    </row>
    <row r="259" spans="1:1" ht="13.5">
      <c r="A259" s="24"/>
    </row>
    <row r="260" spans="1:1" ht="13.5">
      <c r="A260" s="25"/>
    </row>
    <row r="261" spans="1:1" ht="13.5">
      <c r="A261" s="24"/>
    </row>
    <row r="262" spans="1:1" ht="13.5">
      <c r="A262" s="24"/>
    </row>
    <row r="263" spans="1:1" ht="13.5">
      <c r="A263" s="25"/>
    </row>
    <row r="264" spans="1:1" ht="13.5">
      <c r="A264" s="24"/>
    </row>
    <row r="265" spans="1:1" ht="13.5">
      <c r="A265" s="24"/>
    </row>
    <row r="266" spans="1:1" ht="13.5">
      <c r="A266" s="25"/>
    </row>
    <row r="267" spans="1:1" ht="13.5">
      <c r="A267" s="24"/>
    </row>
    <row r="268" spans="1:1" ht="13.5">
      <c r="A268" s="24"/>
    </row>
    <row r="269" spans="1:1" ht="13.5">
      <c r="A269" s="25"/>
    </row>
    <row r="270" spans="1:1" ht="13.5">
      <c r="A270" s="24"/>
    </row>
    <row r="271" spans="1:1" ht="13.5">
      <c r="A271" s="24"/>
    </row>
    <row r="272" spans="1:1" ht="13.5">
      <c r="A272" s="25"/>
    </row>
    <row r="273" spans="1:1" ht="13.5">
      <c r="A273" s="24"/>
    </row>
    <row r="274" spans="1:1" ht="13.5">
      <c r="A274" s="24"/>
    </row>
    <row r="275" spans="1:1" ht="13.5">
      <c r="A275" s="25"/>
    </row>
    <row r="276" spans="1:1" ht="13.5">
      <c r="A276" s="24"/>
    </row>
    <row r="277" spans="1:1" ht="13.5">
      <c r="A277" s="24"/>
    </row>
    <row r="278" spans="1:1" ht="13.5">
      <c r="A278" s="25"/>
    </row>
    <row r="279" spans="1:1" ht="13.5">
      <c r="A279" s="24"/>
    </row>
    <row r="280" spans="1:1" ht="13.5">
      <c r="A280" s="24"/>
    </row>
    <row r="281" spans="1:1" ht="13.5">
      <c r="A281" s="25"/>
    </row>
    <row r="282" spans="1:1" ht="13.5">
      <c r="A282" s="24"/>
    </row>
    <row r="283" spans="1:1" ht="13.5">
      <c r="A283" s="24"/>
    </row>
    <row r="284" spans="1:1" ht="13.5">
      <c r="A284" s="25"/>
    </row>
    <row r="285" spans="1:1" ht="13.5">
      <c r="A285" s="24"/>
    </row>
    <row r="286" spans="1:1" ht="13.5">
      <c r="A286" s="24"/>
    </row>
    <row r="287" spans="1:1" ht="13.5">
      <c r="A287" s="25"/>
    </row>
    <row r="288" spans="1:1" ht="13.5">
      <c r="A288" s="24"/>
    </row>
    <row r="289" spans="1:1" ht="13.5">
      <c r="A289" s="24"/>
    </row>
    <row r="290" spans="1:1" ht="13.5">
      <c r="A290" s="25"/>
    </row>
    <row r="291" spans="1:1" ht="13.5">
      <c r="A291" s="24"/>
    </row>
    <row r="292" spans="1:1" ht="13.5">
      <c r="A292" s="24"/>
    </row>
    <row r="293" spans="1:1" ht="13.5">
      <c r="A293" s="25"/>
    </row>
    <row r="294" spans="1:1" ht="13.5">
      <c r="A294" s="24"/>
    </row>
    <row r="295" spans="1:1" ht="13.5">
      <c r="A295" s="24"/>
    </row>
    <row r="296" spans="1:1" ht="13.5">
      <c r="A296" s="25"/>
    </row>
    <row r="297" spans="1:1" ht="13.5">
      <c r="A297" s="24"/>
    </row>
    <row r="298" spans="1:1" ht="13.5">
      <c r="A298" s="24"/>
    </row>
    <row r="299" spans="1:1" ht="13.5">
      <c r="A299" s="25"/>
    </row>
    <row r="300" spans="1:1" ht="13.5">
      <c r="A300" s="24"/>
    </row>
    <row r="301" spans="1:1" ht="13.5">
      <c r="A301" s="24"/>
    </row>
    <row r="302" spans="1:1" ht="13.5">
      <c r="A302" s="25"/>
    </row>
    <row r="303" spans="1:1" ht="13.5">
      <c r="A303" s="24"/>
    </row>
    <row r="304" spans="1:1" ht="13.5">
      <c r="A304" s="24"/>
    </row>
    <row r="305" spans="1:1" ht="13.5">
      <c r="A305" s="25"/>
    </row>
    <row r="306" spans="1:1" ht="13.5">
      <c r="A306" s="24"/>
    </row>
    <row r="307" spans="1:1" ht="13.5">
      <c r="A307" s="24"/>
    </row>
    <row r="308" spans="1:1" ht="13.5">
      <c r="A308" s="25"/>
    </row>
    <row r="309" spans="1:1" ht="13.5">
      <c r="A309" s="24"/>
    </row>
    <row r="310" spans="1:1" ht="13.5">
      <c r="A310" s="24"/>
    </row>
    <row r="311" spans="1:1" ht="13.5">
      <c r="A311" s="25"/>
    </row>
    <row r="312" spans="1:1" ht="13.5">
      <c r="A312" s="24"/>
    </row>
    <row r="313" spans="1:1" ht="13.5">
      <c r="A313" s="24"/>
    </row>
    <row r="314" spans="1:1" ht="13.5">
      <c r="A314" s="25"/>
    </row>
    <row r="315" spans="1:1" ht="13.5">
      <c r="A315" s="24"/>
    </row>
    <row r="316" spans="1:1" ht="13.5">
      <c r="A316" s="24"/>
    </row>
    <row r="317" spans="1:1" ht="13.5">
      <c r="A317" s="25"/>
    </row>
    <row r="318" spans="1:1" ht="13.5">
      <c r="A318" s="24"/>
    </row>
    <row r="319" spans="1:1" ht="13.5">
      <c r="A319" s="24"/>
    </row>
    <row r="320" spans="1:1" ht="13.5">
      <c r="A320" s="25"/>
    </row>
    <row r="321" spans="1:1" ht="13.5">
      <c r="A321" s="24"/>
    </row>
    <row r="322" spans="1:1" ht="13.5">
      <c r="A322" s="24"/>
    </row>
    <row r="323" spans="1:1" ht="13.5">
      <c r="A323" s="25"/>
    </row>
    <row r="324" spans="1:1" ht="13.5">
      <c r="A324" s="24"/>
    </row>
    <row r="325" spans="1:1" ht="13.5">
      <c r="A325" s="24"/>
    </row>
    <row r="326" spans="1:1" ht="13.5">
      <c r="A326" s="25"/>
    </row>
    <row r="327" spans="1:1" ht="13.5">
      <c r="A327" s="24"/>
    </row>
    <row r="328" spans="1:1" ht="13.5">
      <c r="A328" s="24"/>
    </row>
    <row r="329" spans="1:1" ht="13.5">
      <c r="A329" s="25"/>
    </row>
    <row r="330" spans="1:1" ht="13.5">
      <c r="A330" s="24"/>
    </row>
    <row r="331" spans="1:1" ht="13.5">
      <c r="A331" s="24"/>
    </row>
    <row r="332" spans="1:1" ht="13.5">
      <c r="A332" s="25"/>
    </row>
    <row r="333" spans="1:1" ht="13.5">
      <c r="A333" s="24"/>
    </row>
    <row r="334" spans="1:1" ht="13.5">
      <c r="A334" s="24"/>
    </row>
    <row r="335" spans="1:1" ht="13.5">
      <c r="A335" s="25"/>
    </row>
    <row r="336" spans="1:1" ht="13.5">
      <c r="A336" s="24"/>
    </row>
    <row r="337" spans="1:1" ht="13.5">
      <c r="A337" s="24"/>
    </row>
    <row r="338" spans="1:1" ht="13.5">
      <c r="A338" s="25"/>
    </row>
    <row r="339" spans="1:1" ht="13.5">
      <c r="A339" s="24"/>
    </row>
    <row r="340" spans="1:1" ht="13.5">
      <c r="A340" s="24"/>
    </row>
    <row r="341" spans="1:1" ht="13.5">
      <c r="A341" s="25"/>
    </row>
    <row r="342" spans="1:1" ht="13.5">
      <c r="A342" s="24"/>
    </row>
    <row r="343" spans="1:1" ht="13.5">
      <c r="A343" s="24"/>
    </row>
    <row r="344" spans="1:1" ht="13.5">
      <c r="A344" s="25"/>
    </row>
    <row r="345" spans="1:1" ht="13.5">
      <c r="A345" s="24"/>
    </row>
    <row r="346" spans="1:1" ht="13.5">
      <c r="A346" s="24"/>
    </row>
    <row r="347" spans="1:1" ht="13.5">
      <c r="A347" s="25"/>
    </row>
    <row r="348" spans="1:1" ht="13.5">
      <c r="A348" s="24"/>
    </row>
    <row r="349" spans="1:1" ht="13.5">
      <c r="A349" s="24"/>
    </row>
    <row r="350" spans="1:1" ht="13.5">
      <c r="A350" s="25"/>
    </row>
    <row r="351" spans="1:1" ht="13.5">
      <c r="A351" s="24"/>
    </row>
    <row r="352" spans="1:1" ht="13.5">
      <c r="A352" s="24"/>
    </row>
    <row r="353" spans="1:1" ht="13.5">
      <c r="A353" s="25"/>
    </row>
    <row r="354" spans="1:1" ht="13.5">
      <c r="A354" s="24"/>
    </row>
    <row r="355" spans="1:1" ht="13.5">
      <c r="A355" s="24"/>
    </row>
    <row r="356" spans="1:1" ht="13.5">
      <c r="A356" s="25"/>
    </row>
    <row r="357" spans="1:1" ht="13.5">
      <c r="A357" s="24"/>
    </row>
    <row r="358" spans="1:1" ht="13.5">
      <c r="A358" s="24"/>
    </row>
    <row r="359" spans="1:1" ht="13.5">
      <c r="A359" s="25"/>
    </row>
    <row r="360" spans="1:1" ht="13.5">
      <c r="A360" s="24"/>
    </row>
    <row r="361" spans="1:1" ht="13.5">
      <c r="A361" s="24"/>
    </row>
    <row r="362" spans="1:1" ht="13.5">
      <c r="A362" s="25"/>
    </row>
    <row r="363" spans="1:1" ht="13.5">
      <c r="A363" s="24"/>
    </row>
    <row r="364" spans="1:1" ht="13.5">
      <c r="A364" s="24"/>
    </row>
    <row r="365" spans="1:1" ht="13.5">
      <c r="A365" s="25"/>
    </row>
    <row r="366" spans="1:1" ht="13.5">
      <c r="A366" s="24"/>
    </row>
    <row r="367" spans="1:1" ht="13.5">
      <c r="A367" s="24"/>
    </row>
    <row r="368" spans="1:1" ht="13.5">
      <c r="A368" s="25"/>
    </row>
    <row r="369" spans="1:1" ht="13.5">
      <c r="A369" s="24"/>
    </row>
    <row r="370" spans="1:1" ht="13.5">
      <c r="A370" s="24"/>
    </row>
    <row r="371" spans="1:1" ht="13.5">
      <c r="A371" s="25"/>
    </row>
    <row r="372" spans="1:1" ht="13.5">
      <c r="A372" s="24"/>
    </row>
    <row r="373" spans="1:1" ht="13.5">
      <c r="A373" s="24"/>
    </row>
    <row r="374" spans="1:1" ht="13.5">
      <c r="A374" s="25"/>
    </row>
    <row r="375" spans="1:1" ht="13.5">
      <c r="A375" s="24"/>
    </row>
    <row r="376" spans="1:1" ht="13.5">
      <c r="A376" s="24"/>
    </row>
    <row r="377" spans="1:1" ht="13.5">
      <c r="A377" s="25"/>
    </row>
    <row r="378" spans="1:1" ht="13.5">
      <c r="A378" s="24"/>
    </row>
    <row r="379" spans="1:1" ht="13.5">
      <c r="A379" s="24"/>
    </row>
    <row r="380" spans="1:1" ht="13.5">
      <c r="A380" s="25"/>
    </row>
    <row r="381" spans="1:1" ht="13.5">
      <c r="A381" s="24"/>
    </row>
    <row r="382" spans="1:1" ht="13.5">
      <c r="A382" s="24"/>
    </row>
    <row r="383" spans="1:1" ht="13.5">
      <c r="A383" s="25"/>
    </row>
    <row r="384" spans="1:1" ht="13.5">
      <c r="A384" s="24"/>
    </row>
    <row r="385" spans="1:1" ht="13.5">
      <c r="A385" s="24"/>
    </row>
    <row r="386" spans="1:1" ht="13.5">
      <c r="A386" s="25"/>
    </row>
    <row r="387" spans="1:1" ht="13.5">
      <c r="A387" s="24"/>
    </row>
    <row r="388" spans="1:1" ht="13.5">
      <c r="A388" s="24"/>
    </row>
    <row r="389" spans="1:1" ht="13.5">
      <c r="A389" s="25"/>
    </row>
    <row r="390" spans="1:1" ht="13.5">
      <c r="A390" s="24"/>
    </row>
    <row r="391" spans="1:1" ht="13.5">
      <c r="A391" s="24"/>
    </row>
    <row r="392" spans="1:1" ht="13.5">
      <c r="A392" s="25"/>
    </row>
    <row r="393" spans="1:1" ht="13.5">
      <c r="A393" s="24"/>
    </row>
    <row r="394" spans="1:1" ht="13.5">
      <c r="A394" s="24"/>
    </row>
    <row r="395" spans="1:1" ht="13.5">
      <c r="A395" s="25"/>
    </row>
    <row r="396" spans="1:1" ht="13.5">
      <c r="A396" s="24"/>
    </row>
    <row r="397" spans="1:1" ht="13.5">
      <c r="A397" s="24"/>
    </row>
    <row r="398" spans="1:1" ht="13.5">
      <c r="A398" s="25"/>
    </row>
    <row r="399" spans="1:1" ht="13.5">
      <c r="A399" s="24"/>
    </row>
    <row r="400" spans="1:1" ht="13.5">
      <c r="A400" s="24"/>
    </row>
    <row r="401" spans="1:1" ht="13.5">
      <c r="A401" s="25"/>
    </row>
    <row r="402" spans="1:1" ht="13.5">
      <c r="A402" s="24"/>
    </row>
    <row r="403" spans="1:1" ht="13.5">
      <c r="A403" s="24"/>
    </row>
    <row r="404" spans="1:1" ht="13.5">
      <c r="A404" s="25"/>
    </row>
    <row r="405" spans="1:1" ht="13.5">
      <c r="A405" s="24"/>
    </row>
    <row r="406" spans="1:1" ht="13.5">
      <c r="A406" s="24"/>
    </row>
    <row r="407" spans="1:1" ht="13.5">
      <c r="A407" s="25"/>
    </row>
    <row r="408" spans="1:1" ht="13.5">
      <c r="A408" s="24"/>
    </row>
    <row r="409" spans="1:1" ht="13.5">
      <c r="A409" s="24"/>
    </row>
    <row r="410" spans="1:1" ht="13.5">
      <c r="A410" s="25"/>
    </row>
    <row r="411" spans="1:1" ht="13.5">
      <c r="A411" s="24"/>
    </row>
    <row r="412" spans="1:1" ht="13.5">
      <c r="A412" s="24"/>
    </row>
    <row r="413" spans="1:1" ht="13.5">
      <c r="A413" s="25"/>
    </row>
    <row r="414" spans="1:1" ht="13.5">
      <c r="A414" s="24"/>
    </row>
    <row r="415" spans="1:1" ht="13.5">
      <c r="A415" s="24"/>
    </row>
    <row r="416" spans="1:1" ht="13.5">
      <c r="A416" s="25"/>
    </row>
    <row r="417" spans="1:1" ht="13.5">
      <c r="A417" s="24"/>
    </row>
    <row r="418" spans="1:1" ht="13.5">
      <c r="A418" s="24"/>
    </row>
    <row r="419" spans="1:1" ht="13.5">
      <c r="A419" s="25"/>
    </row>
    <row r="420" spans="1:1" ht="13.5">
      <c r="A420" s="24"/>
    </row>
    <row r="421" spans="1:1" ht="13.5">
      <c r="A421" s="24"/>
    </row>
    <row r="422" spans="1:1" ht="13.5">
      <c r="A422" s="25"/>
    </row>
    <row r="423" spans="1:1" ht="13.5">
      <c r="A423" s="24"/>
    </row>
    <row r="424" spans="1:1" ht="13.5">
      <c r="A424" s="24"/>
    </row>
    <row r="425" spans="1:1" ht="13.5">
      <c r="A425" s="25"/>
    </row>
    <row r="426" spans="1:1" ht="13.5">
      <c r="A426" s="24"/>
    </row>
    <row r="427" spans="1:1" ht="13.5">
      <c r="A427" s="24"/>
    </row>
    <row r="428" spans="1:1" ht="13.5">
      <c r="A428" s="25"/>
    </row>
    <row r="429" spans="1:1" ht="13.5">
      <c r="A429" s="24"/>
    </row>
    <row r="430" spans="1:1" ht="13.5">
      <c r="A430" s="24"/>
    </row>
    <row r="431" spans="1:1" ht="13.5">
      <c r="A431" s="25"/>
    </row>
    <row r="432" spans="1:1" ht="13.5">
      <c r="A432" s="24"/>
    </row>
    <row r="433" spans="1:1" ht="13.5">
      <c r="A433" s="24"/>
    </row>
    <row r="434" spans="1:1" ht="13.5">
      <c r="A434" s="25"/>
    </row>
    <row r="435" spans="1:1" ht="13.5">
      <c r="A435" s="24"/>
    </row>
    <row r="436" spans="1:1" ht="13.5">
      <c r="A436" s="24"/>
    </row>
    <row r="437" spans="1:1" ht="13.5">
      <c r="A437" s="25"/>
    </row>
    <row r="438" spans="1:1" ht="13.5">
      <c r="A438" s="24"/>
    </row>
    <row r="439" spans="1:1" ht="13.5">
      <c r="A439" s="24"/>
    </row>
    <row r="440" spans="1:1" ht="13.5">
      <c r="A440" s="25"/>
    </row>
    <row r="441" spans="1:1" ht="13.5">
      <c r="A441" s="24"/>
    </row>
    <row r="442" spans="1:1" ht="13.5">
      <c r="A442" s="24"/>
    </row>
    <row r="443" spans="1:1" ht="13.5">
      <c r="A443" s="25"/>
    </row>
    <row r="444" spans="1:1" ht="13.5">
      <c r="A444" s="24"/>
    </row>
    <row r="445" spans="1:1" ht="13.5">
      <c r="A445" s="24"/>
    </row>
    <row r="446" spans="1:1" ht="13.5">
      <c r="A446" s="25"/>
    </row>
    <row r="447" spans="1:1" ht="13.5">
      <c r="A447" s="24"/>
    </row>
    <row r="448" spans="1:1" ht="13.5">
      <c r="A448" s="24"/>
    </row>
    <row r="449" spans="1:1" ht="13.5">
      <c r="A449" s="25"/>
    </row>
    <row r="450" spans="1:1" ht="13.5">
      <c r="A450" s="24"/>
    </row>
    <row r="451" spans="1:1" ht="13.5">
      <c r="A451" s="24"/>
    </row>
    <row r="452" spans="1:1" ht="13.5">
      <c r="A452" s="25"/>
    </row>
    <row r="453" spans="1:1" ht="13.5">
      <c r="A453" s="24"/>
    </row>
    <row r="454" spans="1:1" ht="13.5">
      <c r="A454" s="24"/>
    </row>
    <row r="455" spans="1:1" ht="13.5">
      <c r="A455" s="25"/>
    </row>
    <row r="456" spans="1:1" ht="13.5">
      <c r="A456" s="24"/>
    </row>
    <row r="457" spans="1:1" ht="13.5">
      <c r="A457" s="24"/>
    </row>
    <row r="458" spans="1:1" ht="13.5">
      <c r="A458" s="25"/>
    </row>
    <row r="459" spans="1:1" ht="13.5">
      <c r="A459" s="24"/>
    </row>
    <row r="460" spans="1:1" ht="13.5">
      <c r="A460" s="24"/>
    </row>
    <row r="461" spans="1:1" ht="13.5">
      <c r="A461" s="25"/>
    </row>
    <row r="462" spans="1:1" ht="13.5">
      <c r="A462" s="24"/>
    </row>
    <row r="463" spans="1:1" ht="13.5">
      <c r="A463" s="24"/>
    </row>
    <row r="464" spans="1:1" ht="13.5">
      <c r="A464" s="25"/>
    </row>
    <row r="465" spans="1:1" ht="13.5">
      <c r="A465" s="24"/>
    </row>
    <row r="466" spans="1:1" ht="13.5">
      <c r="A466" s="24"/>
    </row>
    <row r="467" spans="1:1" ht="13.5">
      <c r="A467" s="25"/>
    </row>
    <row r="468" spans="1:1" ht="13.5">
      <c r="A468" s="24"/>
    </row>
    <row r="469" spans="1:1" ht="13.5">
      <c r="A469" s="24"/>
    </row>
    <row r="470" spans="1:1" ht="13.5">
      <c r="A470" s="25"/>
    </row>
    <row r="471" spans="1:1" ht="13.5">
      <c r="A471" s="24"/>
    </row>
    <row r="472" spans="1:1" ht="13.5">
      <c r="A472" s="24"/>
    </row>
    <row r="473" spans="1:1" ht="13.5">
      <c r="A473" s="25"/>
    </row>
    <row r="474" spans="1:1" ht="13.5">
      <c r="A474" s="24"/>
    </row>
    <row r="475" spans="1:1" ht="13.5">
      <c r="A475" s="24"/>
    </row>
    <row r="476" spans="1:1" ht="13.5">
      <c r="A476" s="25"/>
    </row>
    <row r="477" spans="1:1" ht="13.5">
      <c r="A477" s="24"/>
    </row>
    <row r="478" spans="1:1" ht="13.5">
      <c r="A478" s="24"/>
    </row>
    <row r="479" spans="1:1" ht="13.5">
      <c r="A479" s="25"/>
    </row>
    <row r="480" spans="1:1" ht="13.5">
      <c r="A480" s="24"/>
    </row>
    <row r="481" spans="1:1" ht="13.5">
      <c r="A481" s="24"/>
    </row>
    <row r="482" spans="1:1" ht="13.5">
      <c r="A482" s="25"/>
    </row>
    <row r="483" spans="1:1" ht="13.5">
      <c r="A483" s="24"/>
    </row>
    <row r="484" spans="1:1" ht="13.5">
      <c r="A484" s="24"/>
    </row>
    <row r="485" spans="1:1" ht="13.5">
      <c r="A485" s="25"/>
    </row>
    <row r="486" spans="1:1" ht="13.5">
      <c r="A486" s="24"/>
    </row>
    <row r="487" spans="1:1" ht="13.5">
      <c r="A487" s="24"/>
    </row>
    <row r="488" spans="1:1" ht="13.5">
      <c r="A488" s="25"/>
    </row>
    <row r="489" spans="1:1" ht="13.5">
      <c r="A489" s="24"/>
    </row>
    <row r="490" spans="1:1" ht="13.5">
      <c r="A490" s="24"/>
    </row>
    <row r="491" spans="1:1" ht="13.5">
      <c r="A491" s="25"/>
    </row>
    <row r="492" spans="1:1" ht="13.5">
      <c r="A492" s="24"/>
    </row>
    <row r="493" spans="1:1" ht="13.5">
      <c r="A493" s="24"/>
    </row>
    <row r="494" spans="1:1" ht="13.5">
      <c r="A494" s="25"/>
    </row>
    <row r="495" spans="1:1" ht="13.5">
      <c r="A495" s="24"/>
    </row>
    <row r="496" spans="1:1" ht="13.5">
      <c r="A496" s="24"/>
    </row>
    <row r="497" spans="1:1" ht="13.5">
      <c r="A497" s="25"/>
    </row>
    <row r="498" spans="1:1" ht="13.5">
      <c r="A498" s="24"/>
    </row>
    <row r="499" spans="1:1" ht="13.5">
      <c r="A499" s="24"/>
    </row>
    <row r="500" spans="1:1" ht="13.5">
      <c r="A500" s="25"/>
    </row>
    <row r="501" spans="1:1" ht="13.5">
      <c r="A501" s="24"/>
    </row>
    <row r="502" spans="1:1" ht="13.5">
      <c r="A502" s="24"/>
    </row>
    <row r="503" spans="1:1" ht="13.5">
      <c r="A503" s="25"/>
    </row>
    <row r="504" spans="1:1" ht="13.5">
      <c r="A504" s="24"/>
    </row>
    <row r="505" spans="1:1" ht="13.5">
      <c r="A505" s="24"/>
    </row>
    <row r="506" spans="1:1" ht="13.5">
      <c r="A506" s="25"/>
    </row>
    <row r="507" spans="1:1" ht="13.5">
      <c r="A507" s="24"/>
    </row>
    <row r="508" spans="1:1" ht="13.5">
      <c r="A508" s="24"/>
    </row>
    <row r="509" spans="1:1" ht="13.5">
      <c r="A509" s="25"/>
    </row>
    <row r="510" spans="1:1" ht="13.5">
      <c r="A510" s="24"/>
    </row>
    <row r="511" spans="1:1" ht="13.5">
      <c r="A511" s="24"/>
    </row>
    <row r="512" spans="1:1" ht="13.5">
      <c r="A512" s="25"/>
    </row>
    <row r="513" spans="1:1" ht="13.5">
      <c r="A513" s="24"/>
    </row>
    <row r="514" spans="1:1" ht="13.5">
      <c r="A514" s="24"/>
    </row>
    <row r="515" spans="1:1" ht="13.5">
      <c r="A515" s="25"/>
    </row>
    <row r="516" spans="1:1" ht="13.5">
      <c r="A516" s="24"/>
    </row>
    <row r="517" spans="1:1" ht="13.5">
      <c r="A517" s="24"/>
    </row>
    <row r="518" spans="1:1" ht="13.5">
      <c r="A518" s="25"/>
    </row>
    <row r="519" spans="1:1" ht="13.5">
      <c r="A519" s="24"/>
    </row>
    <row r="520" spans="1:1" ht="13.5">
      <c r="A520" s="24"/>
    </row>
    <row r="521" spans="1:1" ht="13.5">
      <c r="A521" s="25"/>
    </row>
    <row r="522" spans="1:1" ht="13.5">
      <c r="A522" s="24"/>
    </row>
    <row r="523" spans="1:1" ht="13.5">
      <c r="A523" s="24"/>
    </row>
    <row r="524" spans="1:1" ht="13.5">
      <c r="A524" s="25"/>
    </row>
    <row r="525" spans="1:1" ht="13.5">
      <c r="A525" s="24"/>
    </row>
    <row r="526" spans="1:1" ht="13.5">
      <c r="A526" s="24"/>
    </row>
    <row r="527" spans="1:1" ht="13.5">
      <c r="A527" s="25"/>
    </row>
    <row r="528" spans="1:1" ht="13.5">
      <c r="A528" s="24"/>
    </row>
    <row r="529" spans="1:1" ht="13.5">
      <c r="A529" s="24"/>
    </row>
    <row r="530" spans="1:1" ht="13.5">
      <c r="A530" s="25"/>
    </row>
    <row r="531" spans="1:1" ht="13.5">
      <c r="A531" s="24"/>
    </row>
    <row r="532" spans="1:1" ht="13.5">
      <c r="A532" s="24"/>
    </row>
    <row r="533" spans="1:1" ht="13.5">
      <c r="A533" s="25"/>
    </row>
    <row r="534" spans="1:1" ht="13.5">
      <c r="A534" s="24"/>
    </row>
    <row r="535" spans="1:1" ht="13.5">
      <c r="A535" s="24"/>
    </row>
    <row r="536" spans="1:1" ht="13.5">
      <c r="A536" s="25"/>
    </row>
    <row r="537" spans="1:1" ht="13.5">
      <c r="A537" s="24"/>
    </row>
    <row r="538" spans="1:1" ht="13.5">
      <c r="A538" s="24"/>
    </row>
    <row r="539" spans="1:1" ht="13.5">
      <c r="A539" s="25"/>
    </row>
    <row r="540" spans="1:1" ht="13.5">
      <c r="A540" s="24"/>
    </row>
    <row r="541" spans="1:1" ht="13.5">
      <c r="A541" s="24"/>
    </row>
    <row r="542" spans="1:1" ht="13.5">
      <c r="A542" s="25"/>
    </row>
    <row r="543" spans="1:1" ht="13.5">
      <c r="A543" s="24"/>
    </row>
    <row r="544" spans="1:1" ht="13.5">
      <c r="A544" s="24"/>
    </row>
    <row r="545" spans="1:1" ht="13.5">
      <c r="A545" s="25"/>
    </row>
    <row r="546" spans="1:1" ht="13.5">
      <c r="A546" s="24"/>
    </row>
    <row r="547" spans="1:1" ht="13.5">
      <c r="A547" s="24"/>
    </row>
    <row r="548" spans="1:1" ht="13.5">
      <c r="A548" s="25"/>
    </row>
    <row r="549" spans="1:1" ht="13.5">
      <c r="A549" s="24"/>
    </row>
    <row r="550" spans="1:1" ht="13.5">
      <c r="A550" s="24"/>
    </row>
    <row r="551" spans="1:1" ht="13.5">
      <c r="A551" s="25"/>
    </row>
    <row r="552" spans="1:1" ht="13.5">
      <c r="A552" s="24"/>
    </row>
    <row r="553" spans="1:1" ht="13.5">
      <c r="A553" s="24"/>
    </row>
    <row r="554" spans="1:1" ht="13.5">
      <c r="A554" s="25"/>
    </row>
    <row r="555" spans="1:1" ht="13.5">
      <c r="A555" s="24"/>
    </row>
    <row r="556" spans="1:1" ht="13.5">
      <c r="A556" s="24"/>
    </row>
    <row r="557" spans="1:1" ht="13.5">
      <c r="A557" s="25"/>
    </row>
    <row r="558" spans="1:1" ht="13.5">
      <c r="A558" s="24"/>
    </row>
    <row r="559" spans="1:1" ht="13.5">
      <c r="A559" s="24"/>
    </row>
    <row r="560" spans="1:1" ht="13.5">
      <c r="A560" s="25"/>
    </row>
    <row r="561" spans="1:1" ht="13.5">
      <c r="A561" s="24"/>
    </row>
    <row r="562" spans="1:1" ht="13.5">
      <c r="A562" s="24"/>
    </row>
    <row r="563" spans="1:1" ht="13.5">
      <c r="A563" s="25"/>
    </row>
    <row r="564" spans="1:1" ht="13.5">
      <c r="A564" s="24"/>
    </row>
    <row r="565" spans="1:1" ht="13.5">
      <c r="A565" s="24"/>
    </row>
    <row r="566" spans="1:1" ht="13.5">
      <c r="A566" s="25"/>
    </row>
    <row r="567" spans="1:1" ht="13.5">
      <c r="A567" s="24"/>
    </row>
    <row r="568" spans="1:1" ht="13.5">
      <c r="A568" s="24"/>
    </row>
    <row r="569" spans="1:1" ht="13.5">
      <c r="A569" s="25"/>
    </row>
    <row r="570" spans="1:1" ht="13.5">
      <c r="A570" s="24"/>
    </row>
    <row r="571" spans="1:1" ht="13.5">
      <c r="A571" s="24"/>
    </row>
    <row r="572" spans="1:1" ht="13.5">
      <c r="A572" s="25"/>
    </row>
    <row r="573" spans="1:1" ht="13.5">
      <c r="A573" s="24"/>
    </row>
    <row r="574" spans="1:1" ht="13.5">
      <c r="A574" s="24"/>
    </row>
    <row r="575" spans="1:1" ht="13.5">
      <c r="A575" s="25"/>
    </row>
    <row r="576" spans="1:1" ht="13.5">
      <c r="A576" s="24"/>
    </row>
    <row r="577" spans="1:1" ht="13.5">
      <c r="A577" s="24"/>
    </row>
    <row r="578" spans="1:1" ht="13.5">
      <c r="A578" s="25"/>
    </row>
    <row r="579" spans="1:1" ht="13.5">
      <c r="A579" s="24"/>
    </row>
    <row r="580" spans="1:1" ht="13.5">
      <c r="A580" s="24"/>
    </row>
    <row r="581" spans="1:1" ht="13.5">
      <c r="A581" s="25"/>
    </row>
    <row r="582" spans="1:1" ht="13.5">
      <c r="A582" s="24"/>
    </row>
    <row r="583" spans="1:1" ht="13.5">
      <c r="A583" s="24"/>
    </row>
    <row r="584" spans="1:1" ht="13.5">
      <c r="A584" s="25"/>
    </row>
    <row r="585" spans="1:1" ht="13.5">
      <c r="A585" s="24"/>
    </row>
    <row r="586" spans="1:1" ht="13.5">
      <c r="A586" s="24"/>
    </row>
    <row r="587" spans="1:1" ht="13.5">
      <c r="A587" s="25"/>
    </row>
    <row r="588" spans="1:1" ht="13.5">
      <c r="A588" s="24"/>
    </row>
    <row r="589" spans="1:1" ht="13.5">
      <c r="A589" s="24"/>
    </row>
    <row r="590" spans="1:1" ht="13.5">
      <c r="A590" s="25"/>
    </row>
    <row r="591" spans="1:1" ht="13.5">
      <c r="A591" s="24"/>
    </row>
    <row r="592" spans="1:1" ht="13.5">
      <c r="A592" s="24"/>
    </row>
    <row r="593" spans="1:1" ht="13.5">
      <c r="A593" s="25"/>
    </row>
    <row r="594" spans="1:1" ht="13.5">
      <c r="A594" s="24"/>
    </row>
    <row r="595" spans="1:1" ht="13.5">
      <c r="A595" s="24"/>
    </row>
    <row r="596" spans="1:1" ht="13.5">
      <c r="A596" s="25"/>
    </row>
    <row r="597" spans="1:1" ht="13.5">
      <c r="A597" s="24"/>
    </row>
    <row r="598" spans="1:1" ht="13.5">
      <c r="A598" s="24"/>
    </row>
    <row r="599" spans="1:1" ht="13.5">
      <c r="A599" s="25"/>
    </row>
    <row r="600" spans="1:1" ht="13.5">
      <c r="A600" s="24"/>
    </row>
    <row r="601" spans="1:1" ht="13.5">
      <c r="A601" s="24"/>
    </row>
    <row r="602" spans="1:1" ht="13.5">
      <c r="A602" s="25"/>
    </row>
    <row r="603" spans="1:1" ht="13.5">
      <c r="A603" s="24"/>
    </row>
    <row r="604" spans="1:1" ht="13.5">
      <c r="A604" s="24"/>
    </row>
    <row r="605" spans="1:1" ht="13.5">
      <c r="A605" s="25"/>
    </row>
    <row r="606" spans="1:1" ht="13.5">
      <c r="A606" s="24"/>
    </row>
    <row r="607" spans="1:1" ht="13.5">
      <c r="A607" s="24"/>
    </row>
    <row r="608" spans="1:1" ht="13.5">
      <c r="A608" s="25"/>
    </row>
    <row r="609" spans="1:1" ht="13.5">
      <c r="A609" s="24"/>
    </row>
    <row r="610" spans="1:1" ht="13.5">
      <c r="A610" s="24"/>
    </row>
    <row r="611" spans="1:1" ht="13.5">
      <c r="A611" s="25"/>
    </row>
    <row r="612" spans="1:1" ht="13.5">
      <c r="A612" s="24"/>
    </row>
    <row r="613" spans="1:1" ht="13.5">
      <c r="A613" s="24"/>
    </row>
    <row r="614" spans="1:1" ht="13.5">
      <c r="A614" s="25"/>
    </row>
    <row r="615" spans="1:1" ht="13.5">
      <c r="A615" s="24"/>
    </row>
    <row r="616" spans="1:1" ht="13.5">
      <c r="A616" s="24"/>
    </row>
    <row r="617" spans="1:1" ht="13.5">
      <c r="A617" s="25"/>
    </row>
    <row r="618" spans="1:1" ht="13.5">
      <c r="A618" s="24"/>
    </row>
    <row r="619" spans="1:1" ht="13.5">
      <c r="A619" s="24"/>
    </row>
    <row r="620" spans="1:1" ht="13.5">
      <c r="A620" s="25"/>
    </row>
    <row r="621" spans="1:1" ht="13.5">
      <c r="A621" s="24"/>
    </row>
    <row r="622" spans="1:1" ht="13.5">
      <c r="A622" s="24"/>
    </row>
    <row r="623" spans="1:1" ht="13.5">
      <c r="A623" s="25"/>
    </row>
    <row r="624" spans="1:1" ht="13.5">
      <c r="A624" s="24"/>
    </row>
    <row r="625" spans="1:1" ht="13.5">
      <c r="A625" s="24"/>
    </row>
    <row r="626" spans="1:1" ht="13.5">
      <c r="A626" s="25"/>
    </row>
    <row r="627" spans="1:1" ht="13.5">
      <c r="A627" s="24"/>
    </row>
    <row r="628" spans="1:1" ht="13.5">
      <c r="A628" s="24"/>
    </row>
    <row r="629" spans="1:1" ht="13.5">
      <c r="A629" s="25"/>
    </row>
    <row r="630" spans="1:1" ht="13.5">
      <c r="A630" s="24"/>
    </row>
    <row r="631" spans="1:1" ht="13.5">
      <c r="A631" s="24"/>
    </row>
    <row r="632" spans="1:1" ht="13.5">
      <c r="A632" s="25"/>
    </row>
    <row r="633" spans="1:1" ht="13.5">
      <c r="A633" s="24"/>
    </row>
    <row r="634" spans="1:1" ht="13.5">
      <c r="A634" s="24"/>
    </row>
    <row r="635" spans="1:1" ht="13.5">
      <c r="A635" s="25"/>
    </row>
    <row r="636" spans="1:1" ht="13.5">
      <c r="A636" s="24"/>
    </row>
    <row r="637" spans="1:1" ht="13.5">
      <c r="A637" s="24"/>
    </row>
    <row r="638" spans="1:1" ht="13.5">
      <c r="A638" s="25"/>
    </row>
    <row r="639" spans="1:1" ht="13.5">
      <c r="A639" s="24"/>
    </row>
    <row r="640" spans="1:1" ht="13.5">
      <c r="A640" s="24"/>
    </row>
    <row r="641" spans="1:1" ht="13.5">
      <c r="A641" s="25"/>
    </row>
    <row r="642" spans="1:1" ht="13.5">
      <c r="A642" s="24"/>
    </row>
    <row r="643" spans="1:1" ht="13.5">
      <c r="A643" s="24"/>
    </row>
    <row r="644" spans="1:1" ht="13.5">
      <c r="A644" s="25"/>
    </row>
    <row r="645" spans="1:1" ht="13.5">
      <c r="A645" s="24"/>
    </row>
    <row r="646" spans="1:1" ht="13.5">
      <c r="A646" s="24"/>
    </row>
    <row r="647" spans="1:1" ht="13.5">
      <c r="A647" s="25"/>
    </row>
    <row r="648" spans="1:1" ht="13.5">
      <c r="A648" s="24"/>
    </row>
    <row r="649" spans="1:1" ht="13.5">
      <c r="A649" s="24"/>
    </row>
    <row r="650" spans="1:1" ht="13.5">
      <c r="A650" s="25"/>
    </row>
    <row r="651" spans="1:1" ht="13.5">
      <c r="A651" s="24"/>
    </row>
    <row r="652" spans="1:1" ht="13.5">
      <c r="A652" s="24"/>
    </row>
    <row r="653" spans="1:1" ht="13.5">
      <c r="A653" s="25"/>
    </row>
    <row r="654" spans="1:1" ht="13.5">
      <c r="A654" s="24"/>
    </row>
    <row r="655" spans="1:1" ht="13.5">
      <c r="A655" s="24"/>
    </row>
    <row r="656" spans="1:1" ht="13.5">
      <c r="A656" s="25"/>
    </row>
    <row r="657" spans="1:1" ht="13.5">
      <c r="A657" s="24"/>
    </row>
    <row r="658" spans="1:1" ht="13.5">
      <c r="A658" s="24"/>
    </row>
    <row r="659" spans="1:1" ht="13.5">
      <c r="A659" s="25"/>
    </row>
    <row r="660" spans="1:1" ht="13.5">
      <c r="A660" s="24"/>
    </row>
    <row r="661" spans="1:1" ht="13.5">
      <c r="A661" s="24"/>
    </row>
    <row r="662" spans="1:1" ht="13.5">
      <c r="A662" s="25"/>
    </row>
    <row r="663" spans="1:1" ht="13.5">
      <c r="A663" s="24"/>
    </row>
    <row r="664" spans="1:1" ht="13.5">
      <c r="A664" s="24"/>
    </row>
    <row r="665" spans="1:1" ht="13.5">
      <c r="A665" s="25"/>
    </row>
    <row r="666" spans="1:1" ht="13.5">
      <c r="A666" s="24"/>
    </row>
    <row r="667" spans="1:1" ht="13.5">
      <c r="A667" s="24"/>
    </row>
    <row r="668" spans="1:1" ht="13.5">
      <c r="A668" s="25"/>
    </row>
    <row r="669" spans="1:1" ht="13.5">
      <c r="A669" s="24"/>
    </row>
    <row r="670" spans="1:1" ht="13.5">
      <c r="A670" s="24"/>
    </row>
    <row r="671" spans="1:1" ht="13.5">
      <c r="A671" s="25"/>
    </row>
    <row r="672" spans="1:1" ht="13.5">
      <c r="A672" s="24"/>
    </row>
    <row r="673" spans="1:1" ht="13.5">
      <c r="A673" s="24"/>
    </row>
    <row r="674" spans="1:1" ht="13.5">
      <c r="A674" s="25"/>
    </row>
    <row r="675" spans="1:1" ht="13.5">
      <c r="A675" s="24"/>
    </row>
    <row r="676" spans="1:1" ht="13.5">
      <c r="A676" s="24"/>
    </row>
    <row r="677" spans="1:1" ht="13.5">
      <c r="A677" s="25"/>
    </row>
    <row r="678" spans="1:1" ht="13.5">
      <c r="A678" s="24"/>
    </row>
    <row r="679" spans="1:1" ht="13.5">
      <c r="A679" s="24"/>
    </row>
    <row r="680" spans="1:1" ht="13.5">
      <c r="A680" s="25"/>
    </row>
    <row r="681" spans="1:1" ht="13.5">
      <c r="A681" s="24"/>
    </row>
    <row r="682" spans="1:1" ht="13.5">
      <c r="A682" s="24"/>
    </row>
    <row r="683" spans="1:1" ht="13.5">
      <c r="A683" s="25"/>
    </row>
    <row r="684" spans="1:1" ht="13.5">
      <c r="A684" s="24"/>
    </row>
    <row r="685" spans="1:1" ht="13.5">
      <c r="A685" s="24"/>
    </row>
    <row r="686" spans="1:1" ht="13.5">
      <c r="A686" s="25"/>
    </row>
    <row r="687" spans="1:1" ht="13.5">
      <c r="A687" s="24"/>
    </row>
    <row r="688" spans="1:1" ht="13.5">
      <c r="A688" s="24"/>
    </row>
    <row r="689" spans="1:1" ht="13.5">
      <c r="A689" s="25"/>
    </row>
    <row r="690" spans="1:1" ht="13.5">
      <c r="A690" s="24"/>
    </row>
    <row r="691" spans="1:1" ht="13.5">
      <c r="A691" s="24"/>
    </row>
    <row r="692" spans="1:1" ht="13.5">
      <c r="A692" s="25"/>
    </row>
    <row r="693" spans="1:1" ht="13.5">
      <c r="A693" s="24"/>
    </row>
    <row r="694" spans="1:1" ht="13.5">
      <c r="A694" s="24"/>
    </row>
    <row r="695" spans="1:1" ht="13.5">
      <c r="A695" s="25"/>
    </row>
    <row r="696" spans="1:1" ht="13.5">
      <c r="A696" s="24"/>
    </row>
    <row r="697" spans="1:1" ht="13.5">
      <c r="A697" s="24"/>
    </row>
    <row r="698" spans="1:1" ht="13.5">
      <c r="A698" s="25"/>
    </row>
    <row r="699" spans="1:1" ht="13.5">
      <c r="A699" s="24"/>
    </row>
    <row r="700" spans="1:1" ht="13.5">
      <c r="A700" s="24"/>
    </row>
    <row r="701" spans="1:1" ht="13.5">
      <c r="A701" s="25"/>
    </row>
    <row r="702" spans="1:1" ht="13.5">
      <c r="A702" s="24"/>
    </row>
    <row r="703" spans="1:1" ht="13.5">
      <c r="A703" s="24"/>
    </row>
    <row r="704" spans="1:1" ht="13.5">
      <c r="A704" s="25"/>
    </row>
    <row r="705" spans="1:1" ht="13.5">
      <c r="A705" s="24"/>
    </row>
    <row r="706" spans="1:1" ht="13.5">
      <c r="A706" s="24"/>
    </row>
    <row r="707" spans="1:1" ht="13.5">
      <c r="A707" s="25"/>
    </row>
    <row r="708" spans="1:1" ht="13.5">
      <c r="A708" s="24"/>
    </row>
    <row r="709" spans="1:1" ht="13.5">
      <c r="A709" s="24"/>
    </row>
    <row r="710" spans="1:1" ht="13.5">
      <c r="A710" s="25"/>
    </row>
    <row r="711" spans="1:1" ht="13.5">
      <c r="A711" s="24"/>
    </row>
    <row r="712" spans="1:1" ht="13.5">
      <c r="A712" s="24"/>
    </row>
    <row r="713" spans="1:1" ht="13.5">
      <c r="A713" s="25"/>
    </row>
    <row r="714" spans="1:1" ht="13.5">
      <c r="A714" s="24"/>
    </row>
    <row r="715" spans="1:1" ht="13.5">
      <c r="A715" s="24"/>
    </row>
    <row r="716" spans="1:1" ht="13.5">
      <c r="A716" s="25"/>
    </row>
    <row r="717" spans="1:1" ht="13.5">
      <c r="A717" s="24"/>
    </row>
    <row r="718" spans="1:1" ht="13.5">
      <c r="A718" s="24"/>
    </row>
    <row r="719" spans="1:1" ht="13.5">
      <c r="A719" s="25"/>
    </row>
    <row r="720" spans="1:1" ht="13.5">
      <c r="A720" s="24"/>
    </row>
    <row r="721" spans="1:1" ht="13.5">
      <c r="A721" s="24"/>
    </row>
    <row r="722" spans="1:1" ht="13.5">
      <c r="A722" s="25"/>
    </row>
    <row r="723" spans="1:1" ht="13.5">
      <c r="A723" s="24"/>
    </row>
    <row r="724" spans="1:1" ht="13.5">
      <c r="A724" s="24"/>
    </row>
    <row r="725" spans="1:1" ht="13.5">
      <c r="A725" s="25"/>
    </row>
    <row r="726" spans="1:1" ht="13.5">
      <c r="A726" s="24"/>
    </row>
    <row r="727" spans="1:1" ht="13.5">
      <c r="A727" s="24"/>
    </row>
    <row r="728" spans="1:1" ht="13.5">
      <c r="A728" s="25"/>
    </row>
    <row r="729" spans="1:1" ht="13.5">
      <c r="A729" s="24"/>
    </row>
    <row r="730" spans="1:1" ht="13.5">
      <c r="A730" s="24"/>
    </row>
    <row r="731" spans="1:1" ht="13.5">
      <c r="A731" s="25"/>
    </row>
    <row r="732" spans="1:1" ht="13.5">
      <c r="A732" s="24"/>
    </row>
    <row r="733" spans="1:1" ht="13.5">
      <c r="A733" s="24"/>
    </row>
    <row r="734" spans="1:1" ht="13.5">
      <c r="A734" s="25"/>
    </row>
    <row r="735" spans="1:1" ht="13.5">
      <c r="A735" s="24"/>
    </row>
    <row r="736" spans="1:1" ht="13.5">
      <c r="A736" s="24"/>
    </row>
    <row r="737" spans="1:1" ht="13.5">
      <c r="A737" s="25"/>
    </row>
    <row r="738" spans="1:1" ht="13.5">
      <c r="A738" s="24"/>
    </row>
    <row r="739" spans="1:1" ht="13.5">
      <c r="A739" s="24"/>
    </row>
    <row r="740" spans="1:1" ht="13.5">
      <c r="A740" s="25"/>
    </row>
    <row r="741" spans="1:1" ht="13.5">
      <c r="A741" s="24"/>
    </row>
    <row r="742" spans="1:1" ht="13.5">
      <c r="A742" s="24"/>
    </row>
    <row r="743" spans="1:1" ht="13.5">
      <c r="A743" s="25"/>
    </row>
    <row r="744" spans="1:1" ht="13.5">
      <c r="A744" s="24"/>
    </row>
    <row r="745" spans="1:1" ht="13.5">
      <c r="A745" s="24"/>
    </row>
    <row r="746" spans="1:1" ht="13.5">
      <c r="A746" s="25"/>
    </row>
    <row r="747" spans="1:1" ht="13.5">
      <c r="A747" s="24"/>
    </row>
    <row r="748" spans="1:1" ht="13.5">
      <c r="A748" s="24"/>
    </row>
    <row r="749" spans="1:1" ht="13.5">
      <c r="A749" s="25"/>
    </row>
    <row r="750" spans="1:1" ht="13.5">
      <c r="A750" s="24"/>
    </row>
    <row r="751" spans="1:1" ht="13.5">
      <c r="A751" s="24"/>
    </row>
    <row r="752" spans="1:1" ht="13.5">
      <c r="A752" s="25"/>
    </row>
    <row r="753" spans="1:1" ht="13.5">
      <c r="A753" s="24"/>
    </row>
    <row r="754" spans="1:1" ht="13.5">
      <c r="A754" s="24"/>
    </row>
    <row r="755" spans="1:1" ht="13.5">
      <c r="A755" s="25"/>
    </row>
    <row r="756" spans="1:1" ht="13.5">
      <c r="A756" s="24"/>
    </row>
    <row r="757" spans="1:1" ht="13.5">
      <c r="A757" s="24"/>
    </row>
    <row r="758" spans="1:1" ht="13.5">
      <c r="A758" s="25"/>
    </row>
    <row r="759" spans="1:1" ht="13.5">
      <c r="A759" s="24"/>
    </row>
    <row r="760" spans="1:1" ht="13.5">
      <c r="A760" s="24"/>
    </row>
    <row r="761" spans="1:1" ht="13.5">
      <c r="A761" s="25"/>
    </row>
    <row r="762" spans="1:1" ht="13.5">
      <c r="A762" s="24"/>
    </row>
    <row r="763" spans="1:1" ht="13.5">
      <c r="A763" s="24"/>
    </row>
    <row r="764" spans="1:1" ht="13.5">
      <c r="A764" s="25"/>
    </row>
    <row r="765" spans="1:1" ht="13.5">
      <c r="A765" s="24"/>
    </row>
    <row r="766" spans="1:1" ht="13.5">
      <c r="A766" s="24"/>
    </row>
    <row r="767" spans="1:1" ht="13.5">
      <c r="A767" s="25"/>
    </row>
    <row r="768" spans="1:1" ht="13.5">
      <c r="A768" s="24"/>
    </row>
    <row r="769" spans="1:1" ht="13.5">
      <c r="A769" s="24"/>
    </row>
    <row r="770" spans="1:1" ht="13.5">
      <c r="A770" s="25"/>
    </row>
    <row r="771" spans="1:1" ht="13.5">
      <c r="A771" s="24"/>
    </row>
    <row r="772" spans="1:1" ht="13.5">
      <c r="A772" s="24"/>
    </row>
    <row r="773" spans="1:1" ht="13.5">
      <c r="A773" s="25"/>
    </row>
    <row r="774" spans="1:1" ht="13.5">
      <c r="A774" s="24"/>
    </row>
    <row r="775" spans="1:1" ht="13.5">
      <c r="A775" s="24"/>
    </row>
    <row r="776" spans="1:1" ht="13.5">
      <c r="A776" s="25"/>
    </row>
    <row r="777" spans="1:1" ht="13.5">
      <c r="A777" s="24"/>
    </row>
    <row r="778" spans="1:1" ht="13.5">
      <c r="A778" s="24"/>
    </row>
    <row r="779" spans="1:1" ht="13.5">
      <c r="A779" s="25"/>
    </row>
    <row r="780" spans="1:1" ht="13.5">
      <c r="A780" s="24"/>
    </row>
    <row r="781" spans="1:1" ht="13.5">
      <c r="A781" s="24"/>
    </row>
    <row r="782" spans="1:1" ht="13.5">
      <c r="A782" s="25"/>
    </row>
    <row r="783" spans="1:1" ht="13.5">
      <c r="A783" s="24"/>
    </row>
    <row r="784" spans="1:1" ht="13.5">
      <c r="A784" s="24"/>
    </row>
    <row r="785" spans="1:1" ht="13.5">
      <c r="A785" s="25"/>
    </row>
    <row r="786" spans="1:1" ht="13.5">
      <c r="A786" s="24"/>
    </row>
    <row r="787" spans="1:1" ht="13.5">
      <c r="A787" s="24"/>
    </row>
    <row r="788" spans="1:1" ht="13.5">
      <c r="A788" s="25"/>
    </row>
    <row r="789" spans="1:1" ht="13.5">
      <c r="A789" s="24"/>
    </row>
    <row r="790" spans="1:1" ht="13.5">
      <c r="A790" s="24"/>
    </row>
    <row r="791" spans="1:1" ht="13.5">
      <c r="A791" s="25"/>
    </row>
    <row r="792" spans="1:1" ht="13.5">
      <c r="A792" s="24"/>
    </row>
    <row r="793" spans="1:1" ht="13.5">
      <c r="A793" s="24"/>
    </row>
    <row r="794" spans="1:1" ht="13.5">
      <c r="A794" s="25"/>
    </row>
    <row r="795" spans="1:1" ht="13.5">
      <c r="A795" s="24"/>
    </row>
    <row r="796" spans="1:1" ht="13.5">
      <c r="A796" s="24"/>
    </row>
    <row r="797" spans="1:1" ht="13.5">
      <c r="A797" s="25"/>
    </row>
    <row r="798" spans="1:1" ht="13.5">
      <c r="A798" s="24"/>
    </row>
    <row r="799" spans="1:1" ht="13.5">
      <c r="A799" s="24"/>
    </row>
    <row r="800" spans="1:1" ht="13.5">
      <c r="A800" s="25"/>
    </row>
    <row r="801" spans="1:1" ht="13.5">
      <c r="A801" s="24"/>
    </row>
    <row r="802" spans="1:1" ht="13.5">
      <c r="A802" s="24"/>
    </row>
    <row r="803" spans="1:1" ht="13.5">
      <c r="A803" s="25"/>
    </row>
    <row r="804" spans="1:1" ht="13.5">
      <c r="A804" s="24"/>
    </row>
    <row r="805" spans="1:1" ht="13.5">
      <c r="A805" s="24"/>
    </row>
    <row r="806" spans="1:1" ht="13.5">
      <c r="A806" s="25"/>
    </row>
    <row r="807" spans="1:1" ht="13.5">
      <c r="A807" s="24"/>
    </row>
    <row r="808" spans="1:1" ht="13.5">
      <c r="A808" s="24"/>
    </row>
    <row r="809" spans="1:1" ht="13.5">
      <c r="A809" s="25"/>
    </row>
    <row r="810" spans="1:1" ht="13.5">
      <c r="A810" s="24"/>
    </row>
    <row r="811" spans="1:1" ht="13.5">
      <c r="A811" s="24"/>
    </row>
    <row r="812" spans="1:1" ht="13.5">
      <c r="A812" s="25"/>
    </row>
    <row r="813" spans="1:1" ht="13.5">
      <c r="A813" s="24"/>
    </row>
    <row r="814" spans="1:1" ht="13.5">
      <c r="A814" s="24"/>
    </row>
    <row r="815" spans="1:1" ht="13.5">
      <c r="A815" s="25"/>
    </row>
    <row r="816" spans="1:1" ht="13.5">
      <c r="A816" s="24"/>
    </row>
    <row r="817" spans="1:1" ht="13.5">
      <c r="A817" s="24"/>
    </row>
    <row r="818" spans="1:1" ht="13.5">
      <c r="A818" s="25"/>
    </row>
    <row r="819" spans="1:1" ht="13.5">
      <c r="A819" s="24"/>
    </row>
    <row r="820" spans="1:1" ht="13.5">
      <c r="A820" s="24"/>
    </row>
    <row r="821" spans="1:1" ht="13.5">
      <c r="A821" s="25"/>
    </row>
    <row r="822" spans="1:1" ht="13.5">
      <c r="A822" s="24"/>
    </row>
    <row r="823" spans="1:1" ht="13.5">
      <c r="A823" s="24"/>
    </row>
    <row r="824" spans="1:1" ht="13.5">
      <c r="A824" s="25"/>
    </row>
    <row r="825" spans="1:1" ht="13.5">
      <c r="A825" s="24"/>
    </row>
    <row r="826" spans="1:1" ht="13.5">
      <c r="A826" s="24"/>
    </row>
    <row r="827" spans="1:1" ht="13.5">
      <c r="A827" s="25"/>
    </row>
    <row r="828" spans="1:1" ht="13.5">
      <c r="A828" s="24"/>
    </row>
    <row r="829" spans="1:1" ht="13.5">
      <c r="A829" s="24"/>
    </row>
    <row r="830" spans="1:1" ht="13.5">
      <c r="A830" s="25"/>
    </row>
    <row r="831" spans="1:1" ht="13.5">
      <c r="A831" s="24"/>
    </row>
    <row r="832" spans="1:1" ht="13.5">
      <c r="A832" s="24"/>
    </row>
    <row r="833" spans="1:1" ht="13.5">
      <c r="A833" s="25"/>
    </row>
    <row r="834" spans="1:1" ht="13.5">
      <c r="A834" s="24"/>
    </row>
    <row r="835" spans="1:1" ht="13.5">
      <c r="A835" s="24"/>
    </row>
    <row r="836" spans="1:1" ht="13.5">
      <c r="A836" s="25"/>
    </row>
    <row r="837" spans="1:1" ht="13.5">
      <c r="A837" s="24"/>
    </row>
    <row r="838" spans="1:1" ht="13.5">
      <c r="A838" s="24"/>
    </row>
    <row r="839" spans="1:1" ht="13.5">
      <c r="A839" s="25"/>
    </row>
    <row r="840" spans="1:1" ht="13.5">
      <c r="A840" s="24"/>
    </row>
    <row r="841" spans="1:1" ht="13.5">
      <c r="A841" s="24"/>
    </row>
    <row r="842" spans="1:1" ht="13.5">
      <c r="A842" s="25"/>
    </row>
    <row r="843" spans="1:1" ht="13.5">
      <c r="A843" s="24"/>
    </row>
    <row r="844" spans="1:1" ht="13.5">
      <c r="A844" s="24"/>
    </row>
    <row r="845" spans="1:1" ht="13.5">
      <c r="A845" s="25"/>
    </row>
    <row r="846" spans="1:1" ht="13.5">
      <c r="A846" s="24"/>
    </row>
    <row r="847" spans="1:1" ht="13.5">
      <c r="A847" s="24"/>
    </row>
    <row r="848" spans="1:1" ht="13.5">
      <c r="A848" s="25"/>
    </row>
    <row r="849" spans="1:1" ht="13.5">
      <c r="A849" s="24"/>
    </row>
    <row r="850" spans="1:1" ht="13.5">
      <c r="A850" s="24"/>
    </row>
    <row r="851" spans="1:1" ht="13.5">
      <c r="A851" s="25"/>
    </row>
    <row r="852" spans="1:1" ht="13.5">
      <c r="A852" s="24"/>
    </row>
    <row r="853" spans="1:1" ht="13.5">
      <c r="A853" s="24"/>
    </row>
    <row r="854" spans="1:1" ht="13.5">
      <c r="A854" s="25"/>
    </row>
    <row r="855" spans="1:1" ht="13.5">
      <c r="A855" s="24"/>
    </row>
    <row r="856" spans="1:1" ht="13.5">
      <c r="A856" s="24"/>
    </row>
    <row r="857" spans="1:1" ht="13.5">
      <c r="A857" s="25"/>
    </row>
    <row r="858" spans="1:1" ht="13.5">
      <c r="A858" s="24"/>
    </row>
    <row r="859" spans="1:1" ht="13.5">
      <c r="A859" s="24"/>
    </row>
    <row r="860" spans="1:1" ht="13.5">
      <c r="A860" s="25"/>
    </row>
    <row r="861" spans="1:1" ht="13.5">
      <c r="A861" s="24"/>
    </row>
    <row r="862" spans="1:1" ht="13.5">
      <c r="A862" s="24"/>
    </row>
    <row r="863" spans="1:1" ht="13.5">
      <c r="A863" s="25"/>
    </row>
    <row r="864" spans="1:1" ht="13.5">
      <c r="A864" s="24"/>
    </row>
    <row r="865" spans="1:1" ht="13.5">
      <c r="A865" s="24"/>
    </row>
    <row r="866" spans="1:1" ht="13.5">
      <c r="A866" s="25"/>
    </row>
    <row r="867" spans="1:1" ht="13.5">
      <c r="A867" s="24"/>
    </row>
    <row r="868" spans="1:1" ht="13.5">
      <c r="A868" s="24"/>
    </row>
    <row r="869" spans="1:1" ht="13.5">
      <c r="A869" s="25"/>
    </row>
    <row r="870" spans="1:1" ht="13.5">
      <c r="A870" s="24"/>
    </row>
    <row r="871" spans="1:1" ht="13.5">
      <c r="A871" s="24"/>
    </row>
    <row r="872" spans="1:1" ht="13.5">
      <c r="A872" s="25"/>
    </row>
    <row r="873" spans="1:1" ht="13.5">
      <c r="A873" s="24"/>
    </row>
    <row r="874" spans="1:1" ht="13.5">
      <c r="A874" s="24"/>
    </row>
    <row r="875" spans="1:1" ht="13.5">
      <c r="A875" s="25"/>
    </row>
    <row r="876" spans="1:1" ht="13.5">
      <c r="A876" s="24"/>
    </row>
    <row r="877" spans="1:1" ht="13.5">
      <c r="A877" s="24"/>
    </row>
    <row r="878" spans="1:1" ht="13.5">
      <c r="A878" s="25"/>
    </row>
    <row r="879" spans="1:1" ht="13.5">
      <c r="A879" s="24"/>
    </row>
    <row r="880" spans="1:1" ht="13.5">
      <c r="A880" s="24"/>
    </row>
    <row r="881" spans="1:1" ht="13.5">
      <c r="A881" s="25"/>
    </row>
    <row r="882" spans="1:1" ht="13.5">
      <c r="A882" s="24"/>
    </row>
    <row r="883" spans="1:1" ht="13.5">
      <c r="A883" s="24"/>
    </row>
    <row r="884" spans="1:1" ht="13.5">
      <c r="A884" s="25"/>
    </row>
    <row r="885" spans="1:1" ht="13.5">
      <c r="A885" s="24"/>
    </row>
    <row r="886" spans="1:1" ht="13.5">
      <c r="A886" s="24"/>
    </row>
    <row r="887" spans="1:1" ht="13.5">
      <c r="A887" s="25"/>
    </row>
    <row r="888" spans="1:1" ht="13.5">
      <c r="A888" s="24"/>
    </row>
    <row r="889" spans="1:1" ht="13.5">
      <c r="A889" s="24"/>
    </row>
    <row r="890" spans="1:1" ht="13.5">
      <c r="A890" s="25"/>
    </row>
    <row r="891" spans="1:1" ht="13.5">
      <c r="A891" s="24"/>
    </row>
    <row r="892" spans="1:1" ht="13.5">
      <c r="A892" s="24"/>
    </row>
    <row r="893" spans="1:1" ht="13.5">
      <c r="A893" s="25"/>
    </row>
    <row r="894" spans="1:1" ht="13.5">
      <c r="A894" s="24"/>
    </row>
    <row r="895" spans="1:1" ht="13.5">
      <c r="A895" s="24"/>
    </row>
    <row r="896" spans="1:1" ht="13.5">
      <c r="A896" s="25"/>
    </row>
    <row r="897" spans="1:1" ht="13.5">
      <c r="A897" s="24"/>
    </row>
    <row r="898" spans="1:1" ht="13.5">
      <c r="A898" s="24"/>
    </row>
    <row r="899" spans="1:1" ht="13.5">
      <c r="A899" s="25"/>
    </row>
    <row r="900" spans="1:1" ht="13.5">
      <c r="A900" s="24"/>
    </row>
    <row r="901" spans="1:1" ht="13.5">
      <c r="A901" s="24"/>
    </row>
    <row r="902" spans="1:1" ht="13.5">
      <c r="A902" s="25"/>
    </row>
    <row r="903" spans="1:1" ht="13.5">
      <c r="A903" s="24"/>
    </row>
    <row r="904" spans="1:1" ht="13.5">
      <c r="A904" s="24"/>
    </row>
    <row r="905" spans="1:1" ht="13.5">
      <c r="A905" s="25"/>
    </row>
    <row r="906" spans="1:1" ht="13.5">
      <c r="A906" s="24"/>
    </row>
    <row r="907" spans="1:1" ht="13.5">
      <c r="A907" s="24"/>
    </row>
    <row r="908" spans="1:1" ht="13.5">
      <c r="A908" s="25"/>
    </row>
    <row r="909" spans="1:1" ht="13.5">
      <c r="A909" s="24"/>
    </row>
    <row r="910" spans="1:1" ht="13.5">
      <c r="A910" s="24"/>
    </row>
    <row r="911" spans="1:1" ht="13.5">
      <c r="A911" s="25"/>
    </row>
    <row r="912" spans="1:1" ht="13.5">
      <c r="A912" s="24"/>
    </row>
    <row r="913" spans="1:1" ht="13.5">
      <c r="A913" s="24"/>
    </row>
    <row r="914" spans="1:1" ht="13.5">
      <c r="A914" s="25"/>
    </row>
    <row r="915" spans="1:1" ht="13.5">
      <c r="A915" s="24"/>
    </row>
    <row r="916" spans="1:1" ht="13.5">
      <c r="A916" s="24"/>
    </row>
    <row r="917" spans="1:1" ht="13.5">
      <c r="A917" s="25"/>
    </row>
    <row r="918" spans="1:1" ht="13.5">
      <c r="A918" s="24"/>
    </row>
    <row r="919" spans="1:1" ht="13.5">
      <c r="A919" s="24"/>
    </row>
    <row r="920" spans="1:1" ht="13.5">
      <c r="A920" s="25"/>
    </row>
    <row r="921" spans="1:1" ht="13.5">
      <c r="A921" s="24"/>
    </row>
    <row r="922" spans="1:1" ht="13.5">
      <c r="A922" s="24"/>
    </row>
    <row r="923" spans="1:1" ht="13.5">
      <c r="A923" s="25"/>
    </row>
    <row r="924" spans="1:1" ht="13.5">
      <c r="A924" s="24"/>
    </row>
    <row r="925" spans="1:1" ht="13.5">
      <c r="A925" s="24"/>
    </row>
    <row r="926" spans="1:1" ht="13.5">
      <c r="A926" s="25"/>
    </row>
    <row r="927" spans="1:1" ht="13.5">
      <c r="A927" s="24"/>
    </row>
    <row r="928" spans="1:1" ht="13.5">
      <c r="A928" s="24"/>
    </row>
    <row r="929" spans="1:1" ht="13.5">
      <c r="A929" s="25"/>
    </row>
    <row r="930" spans="1:1" ht="13.5">
      <c r="A930" s="24"/>
    </row>
    <row r="931" spans="1:1" ht="13.5">
      <c r="A931" s="24"/>
    </row>
    <row r="932" spans="1:1" ht="13.5">
      <c r="A932" s="25"/>
    </row>
    <row r="933" spans="1:1" ht="13.5">
      <c r="A933" s="24"/>
    </row>
    <row r="934" spans="1:1" ht="13.5">
      <c r="A934" s="24"/>
    </row>
    <row r="935" spans="1:1" ht="13.5">
      <c r="A935" s="25"/>
    </row>
    <row r="936" spans="1:1" ht="13.5">
      <c r="A936" s="24"/>
    </row>
    <row r="937" spans="1:1" ht="13.5">
      <c r="A937" s="24"/>
    </row>
    <row r="938" spans="1:1" ht="13.5">
      <c r="A938" s="25"/>
    </row>
    <row r="939" spans="1:1" ht="13.5">
      <c r="A939" s="24"/>
    </row>
    <row r="940" spans="1:1" ht="13.5">
      <c r="A940" s="24"/>
    </row>
    <row r="941" spans="1:1" ht="13.5">
      <c r="A941" s="25"/>
    </row>
    <row r="942" spans="1:1" ht="13.5">
      <c r="A942" s="24"/>
    </row>
    <row r="943" spans="1:1" ht="13.5">
      <c r="A943" s="24"/>
    </row>
    <row r="944" spans="1:1" ht="13.5">
      <c r="A944" s="25"/>
    </row>
    <row r="945" spans="1:1" ht="13.5">
      <c r="A945" s="24"/>
    </row>
    <row r="946" spans="1:1" ht="13.5">
      <c r="A946" s="24"/>
    </row>
    <row r="947" spans="1:1" ht="13.5">
      <c r="A947" s="25"/>
    </row>
    <row r="948" spans="1:1" ht="13.5">
      <c r="A948" s="24"/>
    </row>
    <row r="949" spans="1:1" ht="13.5">
      <c r="A949" s="24"/>
    </row>
    <row r="950" spans="1:1" ht="13.5">
      <c r="A950" s="25"/>
    </row>
    <row r="951" spans="1:1" ht="13.5">
      <c r="A951" s="24"/>
    </row>
    <row r="952" spans="1:1" ht="13.5">
      <c r="A952" s="24"/>
    </row>
    <row r="953" spans="1:1" ht="13.5">
      <c r="A953" s="25"/>
    </row>
    <row r="954" spans="1:1" ht="13.5">
      <c r="A954" s="24"/>
    </row>
    <row r="955" spans="1:1" ht="13.5">
      <c r="A955" s="24"/>
    </row>
    <row r="956" spans="1:1" ht="13.5">
      <c r="A956" s="25"/>
    </row>
    <row r="957" spans="1:1" ht="13.5">
      <c r="A957" s="24"/>
    </row>
    <row r="958" spans="1:1" ht="13.5">
      <c r="A958" s="24"/>
    </row>
    <row r="959" spans="1:1" ht="13.5">
      <c r="A959" s="25"/>
    </row>
    <row r="960" spans="1:1" ht="13.5">
      <c r="A960" s="24"/>
    </row>
    <row r="961" spans="1:1" ht="13.5">
      <c r="A961" s="24"/>
    </row>
    <row r="962" spans="1:1" ht="13.5">
      <c r="A962" s="25"/>
    </row>
    <row r="963" spans="1:1" ht="13.5">
      <c r="A963" s="24"/>
    </row>
    <row r="964" spans="1:1" ht="13.5">
      <c r="A964" s="24"/>
    </row>
    <row r="965" spans="1:1" ht="13.5">
      <c r="A965" s="25"/>
    </row>
    <row r="966" spans="1:1" ht="13.5">
      <c r="A966" s="24"/>
    </row>
    <row r="967" spans="1:1" ht="13.5">
      <c r="A967" s="24"/>
    </row>
    <row r="968" spans="1:1" ht="13.5">
      <c r="A968" s="25"/>
    </row>
    <row r="969" spans="1:1" ht="13.5">
      <c r="A969" s="24"/>
    </row>
    <row r="970" spans="1:1" ht="13.5">
      <c r="A970" s="24"/>
    </row>
    <row r="971" spans="1:1" ht="13.5">
      <c r="A971" s="25"/>
    </row>
    <row r="972" spans="1:1" ht="13.5">
      <c r="A972" s="24"/>
    </row>
    <row r="973" spans="1:1" ht="13.5">
      <c r="A973" s="24"/>
    </row>
    <row r="974" spans="1:1" ht="13.5">
      <c r="A974" s="25"/>
    </row>
    <row r="975" spans="1:1" ht="13.5">
      <c r="A975" s="24"/>
    </row>
    <row r="976" spans="1:1" ht="13.5">
      <c r="A976" s="24"/>
    </row>
    <row r="977" spans="1:1" ht="13.5">
      <c r="A977" s="25"/>
    </row>
    <row r="978" spans="1:1" ht="13.5">
      <c r="A978" s="24"/>
    </row>
    <row r="979" spans="1:1" ht="13.5">
      <c r="A979" s="24"/>
    </row>
    <row r="980" spans="1:1" ht="13.5">
      <c r="A980" s="25"/>
    </row>
    <row r="981" spans="1:1" ht="13.5">
      <c r="A981" s="24"/>
    </row>
    <row r="982" spans="1:1" ht="13.5">
      <c r="A982" s="24"/>
    </row>
    <row r="983" spans="1:1" ht="13.5">
      <c r="A983" s="25"/>
    </row>
    <row r="984" spans="1:1" ht="13.5">
      <c r="A984" s="24"/>
    </row>
    <row r="985" spans="1:1" ht="13.5">
      <c r="A985" s="24"/>
    </row>
    <row r="986" spans="1:1" ht="13.5">
      <c r="A986" s="25"/>
    </row>
    <row r="987" spans="1:1" ht="13.5">
      <c r="A987" s="24"/>
    </row>
    <row r="988" spans="1:1" ht="13.5">
      <c r="A988" s="24"/>
    </row>
    <row r="989" spans="1:1" ht="13.5">
      <c r="A989" s="25"/>
    </row>
    <row r="990" spans="1:1" ht="13.5">
      <c r="A990" s="24"/>
    </row>
    <row r="991" spans="1:1" ht="13.5">
      <c r="A991" s="24"/>
    </row>
    <row r="992" spans="1:1" ht="13.5">
      <c r="A992" s="25"/>
    </row>
    <row r="993" spans="1:1" ht="13.5">
      <c r="A993" s="24"/>
    </row>
    <row r="994" spans="1:1" ht="13.5">
      <c r="A994" s="24"/>
    </row>
    <row r="995" spans="1:1" ht="13.5">
      <c r="A995" s="25"/>
    </row>
    <row r="996" spans="1:1" ht="13.5">
      <c r="A996" s="24"/>
    </row>
    <row r="997" spans="1:1" ht="13.5">
      <c r="A997" s="24"/>
    </row>
    <row r="998" spans="1:1" ht="13.5">
      <c r="A998" s="25"/>
    </row>
    <row r="999" spans="1:1" ht="13.5">
      <c r="A999" s="24"/>
    </row>
    <row r="1000" spans="1:1" ht="13.5">
      <c r="A1000" s="24"/>
    </row>
    <row r="1001" spans="1:1" ht="13.5">
      <c r="A1001" s="25"/>
    </row>
    <row r="1002" spans="1:1" ht="13.5">
      <c r="A1002" s="24"/>
    </row>
    <row r="1003" spans="1:1" ht="13.5">
      <c r="A1003" s="24"/>
    </row>
    <row r="1004" spans="1:1" ht="13.5">
      <c r="A1004" s="25"/>
    </row>
    <row r="1005" spans="1:1" ht="13.5">
      <c r="A1005" s="24"/>
    </row>
    <row r="1006" spans="1:1" ht="13.5">
      <c r="A1006" s="24"/>
    </row>
    <row r="1007" spans="1:1" ht="13.5">
      <c r="A1007" s="25"/>
    </row>
    <row r="1008" spans="1:1" ht="13.5">
      <c r="A1008" s="24"/>
    </row>
    <row r="1009" spans="1:1" ht="13.5">
      <c r="A1009" s="24"/>
    </row>
    <row r="1010" spans="1:1" ht="13.5">
      <c r="A1010" s="25"/>
    </row>
    <row r="1011" spans="1:1" ht="13.5">
      <c r="A1011" s="24"/>
    </row>
    <row r="1012" spans="1:1" ht="13.5">
      <c r="A1012" s="24"/>
    </row>
    <row r="1013" spans="1:1" ht="13.5">
      <c r="A1013" s="25"/>
    </row>
    <row r="1014" spans="1:1" ht="13.5">
      <c r="A1014" s="24"/>
    </row>
    <row r="1015" spans="1:1" ht="13.5">
      <c r="A1015" s="24"/>
    </row>
    <row r="1016" spans="1:1" ht="13.5">
      <c r="A1016" s="25"/>
    </row>
    <row r="1017" spans="1:1" ht="13.5">
      <c r="A1017" s="24"/>
    </row>
    <row r="1018" spans="1:1" ht="13.5">
      <c r="A1018" s="24"/>
    </row>
    <row r="1019" spans="1:1" ht="13.5">
      <c r="A1019" s="25"/>
    </row>
    <row r="1020" spans="1:1" ht="13.5">
      <c r="A1020" s="24"/>
    </row>
    <row r="1021" spans="1:1" ht="13.5">
      <c r="A1021" s="24"/>
    </row>
    <row r="1022" spans="1:1" ht="13.5">
      <c r="A1022" s="25"/>
    </row>
    <row r="1023" spans="1:1" ht="13.5">
      <c r="A1023" s="24"/>
    </row>
    <row r="1024" spans="1:1" ht="13.5">
      <c r="A1024" s="24"/>
    </row>
    <row r="1025" spans="1:1" ht="13.5">
      <c r="A1025" s="25"/>
    </row>
    <row r="1026" spans="1:1" ht="13.5">
      <c r="A1026" s="24"/>
    </row>
    <row r="1027" spans="1:1" ht="13.5">
      <c r="A1027" s="24"/>
    </row>
    <row r="1028" spans="1:1" ht="13.5">
      <c r="A1028" s="25"/>
    </row>
    <row r="1029" spans="1:1" ht="13.5">
      <c r="A1029" s="24"/>
    </row>
    <row r="1030" spans="1:1" ht="13.5">
      <c r="A1030" s="24"/>
    </row>
    <row r="1031" spans="1:1" ht="13.5">
      <c r="A1031" s="25"/>
    </row>
    <row r="1032" spans="1:1" ht="13.5">
      <c r="A1032" s="24"/>
    </row>
    <row r="1033" spans="1:1" ht="13.5">
      <c r="A1033" s="24"/>
    </row>
    <row r="1034" spans="1:1" ht="13.5">
      <c r="A1034" s="25"/>
    </row>
    <row r="1035" spans="1:1" ht="13.5">
      <c r="A1035" s="24"/>
    </row>
    <row r="1036" spans="1:1" ht="13.5">
      <c r="A1036" s="24"/>
    </row>
    <row r="1037" spans="1:1" ht="13.5">
      <c r="A1037" s="25"/>
    </row>
    <row r="1038" spans="1:1" ht="13.5">
      <c r="A1038" s="24"/>
    </row>
    <row r="1039" spans="1:1" ht="13.5">
      <c r="A1039" s="24"/>
    </row>
    <row r="1040" spans="1:1" ht="13.5">
      <c r="A1040" s="25"/>
    </row>
    <row r="1041" spans="1:1" ht="13.5">
      <c r="A1041" s="24"/>
    </row>
    <row r="1042" spans="1:1" ht="13.5">
      <c r="A1042" s="24"/>
    </row>
    <row r="1043" spans="1:1" ht="13.5">
      <c r="A1043" s="25"/>
    </row>
    <row r="1044" spans="1:1" ht="13.5">
      <c r="A1044" s="24"/>
    </row>
    <row r="1045" spans="1:1" ht="13.5">
      <c r="A1045" s="24"/>
    </row>
    <row r="1046" spans="1:1" ht="13.5">
      <c r="A1046" s="25"/>
    </row>
    <row r="1047" spans="1:1" ht="13.5">
      <c r="A1047" s="24"/>
    </row>
    <row r="1048" spans="1:1" ht="13.5">
      <c r="A1048" s="24"/>
    </row>
    <row r="1049" spans="1:1" ht="13.5">
      <c r="A1049" s="25"/>
    </row>
    <row r="1050" spans="1:1" ht="13.5">
      <c r="A1050" s="24"/>
    </row>
    <row r="1051" spans="1:1" ht="13.5">
      <c r="A1051" s="24"/>
    </row>
    <row r="1052" spans="1:1" ht="13.5">
      <c r="A1052" s="25"/>
    </row>
    <row r="1053" spans="1:1" ht="13.5">
      <c r="A1053" s="24"/>
    </row>
    <row r="1054" spans="1:1" ht="13.5">
      <c r="A1054" s="24"/>
    </row>
    <row r="1055" spans="1:1" ht="13.5">
      <c r="A1055" s="25"/>
    </row>
    <row r="1056" spans="1:1" ht="13.5">
      <c r="A1056" s="24"/>
    </row>
    <row r="1057" spans="1:1" ht="13.5">
      <c r="A1057" s="24"/>
    </row>
    <row r="1058" spans="1:1" ht="13.5">
      <c r="A1058" s="25"/>
    </row>
    <row r="1059" spans="1:1" ht="13.5">
      <c r="A1059" s="24"/>
    </row>
    <row r="1060" spans="1:1" ht="13.5">
      <c r="A1060" s="24"/>
    </row>
    <row r="1061" spans="1:1" ht="13.5">
      <c r="A1061" s="25"/>
    </row>
    <row r="1062" spans="1:1" ht="13.5">
      <c r="A1062" s="24"/>
    </row>
    <row r="1063" spans="1:1" ht="13.5">
      <c r="A1063" s="24"/>
    </row>
    <row r="1064" spans="1:1" ht="13.5">
      <c r="A1064" s="25"/>
    </row>
    <row r="1065" spans="1:1" ht="13.5">
      <c r="A1065" s="24"/>
    </row>
    <row r="1066" spans="1:1" ht="13.5">
      <c r="A1066" s="24"/>
    </row>
    <row r="1067" spans="1:1" ht="13.5">
      <c r="A1067" s="25"/>
    </row>
    <row r="1068" spans="1:1" ht="13.5">
      <c r="A1068" s="24"/>
    </row>
    <row r="1069" spans="1:1" ht="13.5">
      <c r="A1069" s="24"/>
    </row>
    <row r="1070" spans="1:1" ht="13.5">
      <c r="A1070" s="25"/>
    </row>
    <row r="1071" spans="1:1" ht="13.5">
      <c r="A1071" s="24"/>
    </row>
    <row r="1072" spans="1:1" ht="13.5">
      <c r="A1072" s="24"/>
    </row>
    <row r="1073" spans="1:1" ht="13.5">
      <c r="A1073" s="25"/>
    </row>
    <row r="1074" spans="1:1" ht="13.5">
      <c r="A1074" s="24"/>
    </row>
    <row r="1075" spans="1:1" ht="13.5">
      <c r="A1075" s="24"/>
    </row>
    <row r="1076" spans="1:1" ht="13.5">
      <c r="A1076" s="25"/>
    </row>
    <row r="1077" spans="1:1" ht="13.5">
      <c r="A1077" s="24"/>
    </row>
    <row r="1078" spans="1:1" ht="13.5">
      <c r="A1078" s="24"/>
    </row>
    <row r="1079" spans="1:1" ht="13.5">
      <c r="A1079" s="25"/>
    </row>
    <row r="1080" spans="1:1" ht="13.5">
      <c r="A1080" s="24"/>
    </row>
    <row r="1081" spans="1:1" ht="13.5">
      <c r="A1081" s="24"/>
    </row>
    <row r="1082" spans="1:1" ht="13.5">
      <c r="A1082" s="25"/>
    </row>
    <row r="1083" spans="1:1" ht="13.5">
      <c r="A1083" s="24"/>
    </row>
    <row r="1084" spans="1:1" ht="13.5">
      <c r="A1084" s="24"/>
    </row>
    <row r="1085" spans="1:1" ht="13.5">
      <c r="A1085" s="25"/>
    </row>
    <row r="1086" spans="1:1" ht="13.5">
      <c r="A1086" s="24"/>
    </row>
    <row r="1087" spans="1:1" ht="13.5">
      <c r="A1087" s="24"/>
    </row>
    <row r="1088" spans="1:1" ht="13.5">
      <c r="A1088" s="25"/>
    </row>
    <row r="1089" spans="1:1" ht="13.5">
      <c r="A1089" s="24"/>
    </row>
    <row r="1090" spans="1:1" ht="13.5">
      <c r="A1090" s="24"/>
    </row>
    <row r="1091" spans="1:1" ht="13.5">
      <c r="A1091" s="25"/>
    </row>
    <row r="1092" spans="1:1" ht="13.5">
      <c r="A1092" s="24"/>
    </row>
    <row r="1093" spans="1:1" ht="13.5">
      <c r="A1093" s="24"/>
    </row>
    <row r="1094" spans="1:1" ht="13.5">
      <c r="A1094" s="25"/>
    </row>
    <row r="1095" spans="1:1" ht="13.5">
      <c r="A1095" s="24"/>
    </row>
    <row r="1096" spans="1:1" ht="13.5">
      <c r="A1096" s="24"/>
    </row>
    <row r="1097" spans="1:1" ht="13.5">
      <c r="A1097" s="25"/>
    </row>
    <row r="1098" spans="1:1" ht="13.5">
      <c r="A1098" s="24"/>
    </row>
    <row r="1099" spans="1:1" ht="13.5">
      <c r="A1099" s="24"/>
    </row>
    <row r="1100" spans="1:1" ht="13.5">
      <c r="A1100" s="25"/>
    </row>
    <row r="1101" spans="1:1" ht="13.5">
      <c r="A1101" s="24"/>
    </row>
    <row r="1102" spans="1:1" ht="13.5">
      <c r="A1102" s="24"/>
    </row>
    <row r="1103" spans="1:1" ht="13.5">
      <c r="A1103" s="25"/>
    </row>
    <row r="1104" spans="1:1" ht="13.5">
      <c r="A1104" s="24"/>
    </row>
    <row r="1105" spans="1:1" ht="13.5">
      <c r="A1105" s="24"/>
    </row>
    <row r="1106" spans="1:1" ht="13.5">
      <c r="A1106" s="25"/>
    </row>
    <row r="1107" spans="1:1" ht="13.5">
      <c r="A1107" s="24"/>
    </row>
    <row r="1108" spans="1:1" ht="13.5">
      <c r="A1108" s="24"/>
    </row>
    <row r="1109" spans="1:1" ht="13.5">
      <c r="A1109" s="25"/>
    </row>
    <row r="1110" spans="1:1" ht="13.5">
      <c r="A1110" s="24"/>
    </row>
    <row r="1111" spans="1:1" ht="13.5">
      <c r="A1111" s="24"/>
    </row>
    <row r="1112" spans="1:1" ht="13.5">
      <c r="A1112" s="25"/>
    </row>
    <row r="1113" spans="1:1" ht="13.5">
      <c r="A1113" s="24"/>
    </row>
    <row r="1114" spans="1:1" ht="13.5">
      <c r="A1114" s="24"/>
    </row>
    <row r="1115" spans="1:1" ht="13.5">
      <c r="A1115" s="25"/>
    </row>
    <row r="1116" spans="1:1" ht="13.5">
      <c r="A1116" s="24"/>
    </row>
    <row r="1117" spans="1:1" ht="13.5">
      <c r="A1117" s="24"/>
    </row>
    <row r="1118" spans="1:1" ht="13.5">
      <c r="A1118" s="25"/>
    </row>
    <row r="1119" spans="1:1" ht="13.5">
      <c r="A1119" s="24"/>
    </row>
    <row r="1120" spans="1:1" ht="13.5">
      <c r="A1120" s="24"/>
    </row>
    <row r="1121" spans="1:1" ht="13.5">
      <c r="A1121" s="25"/>
    </row>
    <row r="1122" spans="1:1" ht="13.5">
      <c r="A1122" s="24"/>
    </row>
    <row r="1123" spans="1:1" ht="13.5">
      <c r="A1123" s="24"/>
    </row>
    <row r="1124" spans="1:1" ht="13.5">
      <c r="A1124" s="25"/>
    </row>
    <row r="1125" spans="1:1" ht="13.5">
      <c r="A1125" s="24"/>
    </row>
    <row r="1126" spans="1:1" ht="13.5">
      <c r="A1126" s="24"/>
    </row>
    <row r="1127" spans="1:1" ht="13.5">
      <c r="A1127" s="25"/>
    </row>
    <row r="1128" spans="1:1" ht="13.5">
      <c r="A1128" s="24"/>
    </row>
    <row r="1129" spans="1:1" ht="13.5">
      <c r="A1129" s="24"/>
    </row>
    <row r="1130" spans="1:1" ht="13.5">
      <c r="A1130" s="25"/>
    </row>
    <row r="1131" spans="1:1" ht="13.5">
      <c r="A1131" s="24"/>
    </row>
    <row r="1132" spans="1:1" ht="13.5">
      <c r="A1132" s="24"/>
    </row>
    <row r="1133" spans="1:1" ht="13.5">
      <c r="A1133" s="24"/>
    </row>
    <row r="1134" spans="1:1" ht="13.5">
      <c r="A1134" s="25"/>
    </row>
    <row r="1135" spans="1:1" ht="13.5">
      <c r="A1135" s="24"/>
    </row>
    <row r="1136" spans="1:1" ht="13.5">
      <c r="A1136" s="24"/>
    </row>
    <row r="1137" spans="1:1" ht="13.5">
      <c r="A1137" s="25"/>
    </row>
    <row r="1138" spans="1:1" ht="13.5">
      <c r="A1138" s="24"/>
    </row>
    <row r="1139" spans="1:1" ht="13.5">
      <c r="A1139" s="24"/>
    </row>
    <row r="1140" spans="1:1" ht="13.5">
      <c r="A1140" s="25"/>
    </row>
    <row r="1141" spans="1:1" ht="13.5">
      <c r="A1141" s="24"/>
    </row>
    <row r="1142" spans="1:1" ht="13.5">
      <c r="A1142" s="24"/>
    </row>
    <row r="1143" spans="1:1" ht="13.5">
      <c r="A1143" s="25"/>
    </row>
    <row r="1144" spans="1:1" ht="13.5">
      <c r="A1144" s="24"/>
    </row>
    <row r="1145" spans="1:1" ht="13.5">
      <c r="A1145" s="24"/>
    </row>
    <row r="1146" spans="1:1" ht="13.5">
      <c r="A1146" s="25"/>
    </row>
    <row r="1147" spans="1:1" ht="13.5">
      <c r="A1147" s="24"/>
    </row>
    <row r="1148" spans="1:1" ht="13.5">
      <c r="A1148" s="24"/>
    </row>
    <row r="1149" spans="1:1" ht="13.5">
      <c r="A1149" s="25"/>
    </row>
    <row r="1150" spans="1:1" ht="13.5">
      <c r="A1150" s="24"/>
    </row>
    <row r="1151" spans="1:1" ht="13.5">
      <c r="A1151" s="24"/>
    </row>
    <row r="1152" spans="1:1" ht="13.5">
      <c r="A1152" s="25"/>
    </row>
    <row r="1153" spans="1:1" ht="13.5">
      <c r="A1153" s="24"/>
    </row>
    <row r="1154" spans="1:1" ht="13.5">
      <c r="A1154" s="24"/>
    </row>
    <row r="1155" spans="1:1" ht="13.5">
      <c r="A1155" s="25"/>
    </row>
    <row r="1156" spans="1:1" ht="13.5">
      <c r="A1156" s="24"/>
    </row>
    <row r="1157" spans="1:1" ht="13.5">
      <c r="A1157" s="24"/>
    </row>
    <row r="1158" spans="1:1" ht="13.5">
      <c r="A1158" s="25"/>
    </row>
    <row r="1159" spans="1:1" ht="13.5">
      <c r="A1159" s="24"/>
    </row>
    <row r="1160" spans="1:1" ht="13.5">
      <c r="A1160" s="24"/>
    </row>
    <row r="1161" spans="1:1" ht="13.5">
      <c r="A1161" s="25"/>
    </row>
    <row r="1162" spans="1:1" ht="13.5">
      <c r="A1162" s="24"/>
    </row>
    <row r="1163" spans="1:1" ht="13.5">
      <c r="A1163" s="24"/>
    </row>
    <row r="1164" spans="1:1" ht="13.5">
      <c r="A1164" s="25"/>
    </row>
    <row r="1165" spans="1:1" ht="13.5">
      <c r="A1165" s="24"/>
    </row>
    <row r="1166" spans="1:1" ht="13.5">
      <c r="A1166" s="24"/>
    </row>
    <row r="1167" spans="1:1" ht="13.5">
      <c r="A1167" s="25"/>
    </row>
    <row r="1168" spans="1:1" ht="13.5">
      <c r="A1168" s="24"/>
    </row>
    <row r="1169" spans="1:1" ht="13.5">
      <c r="A1169" s="24"/>
    </row>
    <row r="1170" spans="1:1" ht="13.5">
      <c r="A1170" s="25"/>
    </row>
    <row r="1171" spans="1:1" ht="13.5">
      <c r="A1171" s="24"/>
    </row>
    <row r="1172" spans="1:1" ht="13.5">
      <c r="A1172" s="24"/>
    </row>
    <row r="1173" spans="1:1" ht="13.5">
      <c r="A1173" s="25"/>
    </row>
    <row r="1174" spans="1:1" ht="13.5">
      <c r="A1174" s="24"/>
    </row>
    <row r="1175" spans="1:1" ht="13.5">
      <c r="A1175" s="24"/>
    </row>
    <row r="1176" spans="1:1" ht="13.5">
      <c r="A1176" s="25"/>
    </row>
    <row r="1177" spans="1:1" ht="13.5">
      <c r="A1177" s="24"/>
    </row>
    <row r="1178" spans="1:1" ht="13.5">
      <c r="A1178" s="24"/>
    </row>
    <row r="1179" spans="1:1" ht="13.5">
      <c r="A1179" s="25"/>
    </row>
    <row r="1180" spans="1:1" ht="13.5">
      <c r="A1180" s="24"/>
    </row>
    <row r="1181" spans="1:1" ht="13.5">
      <c r="A1181" s="24"/>
    </row>
    <row r="1182" spans="1:1" ht="13.5">
      <c r="A1182" s="25"/>
    </row>
    <row r="1183" spans="1:1" ht="13.5">
      <c r="A1183" s="24"/>
    </row>
    <row r="1184" spans="1:1" ht="13.5">
      <c r="A1184" s="24"/>
    </row>
    <row r="1185" spans="1:1" ht="13.5">
      <c r="A1185" s="25"/>
    </row>
    <row r="1186" spans="1:1" ht="13.5">
      <c r="A1186" s="24"/>
    </row>
    <row r="1187" spans="1:1" ht="13.5">
      <c r="A1187" s="24"/>
    </row>
    <row r="1188" spans="1:1" ht="13.5">
      <c r="A1188" s="25"/>
    </row>
    <row r="1189" spans="1:1" ht="13.5">
      <c r="A1189" s="24"/>
    </row>
    <row r="1190" spans="1:1" ht="13.5">
      <c r="A1190" s="24"/>
    </row>
    <row r="1191" spans="1:1" ht="13.5">
      <c r="A1191" s="25"/>
    </row>
    <row r="1192" spans="1:1" ht="13.5">
      <c r="A1192" s="24"/>
    </row>
    <row r="1193" spans="1:1" ht="13.5">
      <c r="A1193" s="24"/>
    </row>
    <row r="1194" spans="1:1" ht="13.5">
      <c r="A1194" s="25"/>
    </row>
    <row r="1195" spans="1:1" ht="13.5">
      <c r="A1195" s="24"/>
    </row>
    <row r="1196" spans="1:1" ht="13.5">
      <c r="A1196" s="24"/>
    </row>
    <row r="1197" spans="1:1" ht="13.5">
      <c r="A1197" s="25"/>
    </row>
    <row r="1198" spans="1:1" ht="13.5">
      <c r="A1198" s="24"/>
    </row>
    <row r="1199" spans="1:1" ht="13.5">
      <c r="A1199" s="24"/>
    </row>
    <row r="1200" spans="1:1" ht="13.5">
      <c r="A1200" s="25"/>
    </row>
    <row r="1201" spans="1:1" ht="13.5">
      <c r="A1201" s="24"/>
    </row>
    <row r="1202" spans="1:1" ht="13.5">
      <c r="A1202" s="24"/>
    </row>
    <row r="1203" spans="1:1" ht="13.5">
      <c r="A1203" s="25"/>
    </row>
    <row r="1204" spans="1:1" ht="13.5">
      <c r="A1204" s="24"/>
    </row>
    <row r="1205" spans="1:1" ht="13.5">
      <c r="A1205" s="24"/>
    </row>
    <row r="1206" spans="1:1" ht="13.5">
      <c r="A1206" s="25"/>
    </row>
    <row r="1207" spans="1:1" ht="13.5">
      <c r="A1207" s="24"/>
    </row>
    <row r="1208" spans="1:1" ht="13.5">
      <c r="A1208" s="24"/>
    </row>
    <row r="1209" spans="1:1" ht="13.5">
      <c r="A1209" s="25"/>
    </row>
    <row r="1210" spans="1:1" ht="13.5">
      <c r="A1210" s="24"/>
    </row>
    <row r="1211" spans="1:1" ht="13.5">
      <c r="A1211" s="24"/>
    </row>
    <row r="1212" spans="1:1" ht="13.5">
      <c r="A1212" s="25"/>
    </row>
    <row r="1213" spans="1:1" ht="13.5">
      <c r="A1213" s="24"/>
    </row>
    <row r="1214" spans="1:1" ht="13.5">
      <c r="A1214" s="24"/>
    </row>
    <row r="1215" spans="1:1" ht="13.5">
      <c r="A1215" s="25"/>
    </row>
    <row r="1216" spans="1:1" ht="13.5">
      <c r="A1216" s="24"/>
    </row>
    <row r="1217" spans="1:1" ht="13.5">
      <c r="A1217" s="24"/>
    </row>
    <row r="1218" spans="1:1" ht="13.5">
      <c r="A1218" s="25"/>
    </row>
    <row r="1219" spans="1:1" ht="13.5">
      <c r="A1219" s="24"/>
    </row>
    <row r="1220" spans="1:1" ht="13.5">
      <c r="A1220" s="24"/>
    </row>
    <row r="1221" spans="1:1" ht="13.5">
      <c r="A1221" s="25"/>
    </row>
    <row r="1222" spans="1:1" ht="13.5">
      <c r="A1222" s="24"/>
    </row>
    <row r="1223" spans="1:1" ht="13.5">
      <c r="A1223" s="24"/>
    </row>
    <row r="1224" spans="1:1" ht="13.5">
      <c r="A1224" s="25"/>
    </row>
    <row r="1225" spans="1:1" ht="13.5">
      <c r="A1225" s="24"/>
    </row>
    <row r="1226" spans="1:1" ht="13.5">
      <c r="A1226" s="24"/>
    </row>
    <row r="1227" spans="1:1" ht="13.5">
      <c r="A1227" s="25"/>
    </row>
    <row r="1228" spans="1:1" ht="13.5">
      <c r="A1228" s="24"/>
    </row>
    <row r="1229" spans="1:1" ht="13.5">
      <c r="A1229" s="24"/>
    </row>
    <row r="1230" spans="1:1" ht="13.5">
      <c r="A1230" s="25"/>
    </row>
    <row r="1231" spans="1:1" ht="13.5">
      <c r="A1231" s="24"/>
    </row>
    <row r="1232" spans="1:1" ht="13.5">
      <c r="A1232" s="24"/>
    </row>
    <row r="1233" spans="1:1" ht="13.5">
      <c r="A1233" s="25"/>
    </row>
    <row r="1234" spans="1:1" ht="13.5">
      <c r="A1234" s="24"/>
    </row>
    <row r="1235" spans="1:1" ht="13.5">
      <c r="A1235" s="24"/>
    </row>
    <row r="1236" spans="1:1" ht="13.5">
      <c r="A1236" s="25"/>
    </row>
    <row r="1237" spans="1:1" ht="13.5">
      <c r="A1237" s="24"/>
    </row>
    <row r="1238" spans="1:1" ht="13.5">
      <c r="A1238" s="24"/>
    </row>
    <row r="1239" spans="1:1" ht="13.5">
      <c r="A1239" s="25"/>
    </row>
    <row r="1240" spans="1:1" ht="13.5">
      <c r="A1240" s="24"/>
    </row>
    <row r="1241" spans="1:1" ht="13.5">
      <c r="A1241" s="24"/>
    </row>
    <row r="1242" spans="1:1" ht="13.5">
      <c r="A1242" s="25"/>
    </row>
    <row r="1243" spans="1:1" ht="13.5">
      <c r="A1243" s="24"/>
    </row>
    <row r="1244" spans="1:1" ht="13.5">
      <c r="A1244" s="24"/>
    </row>
    <row r="1245" spans="1:1" ht="13.5">
      <c r="A1245" s="25"/>
    </row>
    <row r="1246" spans="1:1" ht="13.5">
      <c r="A1246" s="24"/>
    </row>
    <row r="1247" spans="1:1" ht="13.5">
      <c r="A1247" s="24"/>
    </row>
    <row r="1248" spans="1:1" ht="13.5">
      <c r="A1248" s="25"/>
    </row>
    <row r="1249" spans="1:1" ht="13.5">
      <c r="A1249" s="24"/>
    </row>
    <row r="1250" spans="1:1" ht="13.5">
      <c r="A1250" s="24"/>
    </row>
    <row r="1251" spans="1:1" ht="13.5">
      <c r="A1251" s="25"/>
    </row>
    <row r="1252" spans="1:1" ht="13.5">
      <c r="A1252" s="24"/>
    </row>
    <row r="1253" spans="1:1" ht="13.5">
      <c r="A1253" s="24"/>
    </row>
    <row r="1254" spans="1:1" ht="13.5">
      <c r="A1254" s="25"/>
    </row>
    <row r="1255" spans="1:1" ht="13.5">
      <c r="A1255" s="24"/>
    </row>
    <row r="1256" spans="1:1" ht="13.5">
      <c r="A1256" s="24"/>
    </row>
    <row r="1257" spans="1:1" ht="13.5">
      <c r="A1257" s="25"/>
    </row>
    <row r="1258" spans="1:1" ht="13.5">
      <c r="A1258" s="24"/>
    </row>
    <row r="1259" spans="1:1" ht="13.5">
      <c r="A1259" s="24"/>
    </row>
    <row r="1260" spans="1:1" ht="13.5">
      <c r="A1260" s="25"/>
    </row>
    <row r="1261" spans="1:1" ht="13.5">
      <c r="A1261" s="24"/>
    </row>
    <row r="1262" spans="1:1" ht="13.5">
      <c r="A1262" s="24"/>
    </row>
    <row r="1263" spans="1:1" ht="13.5">
      <c r="A1263" s="25"/>
    </row>
    <row r="1264" spans="1:1" ht="13.5">
      <c r="A1264" s="24"/>
    </row>
    <row r="1265" spans="1:1" ht="13.5">
      <c r="A1265" s="24"/>
    </row>
    <row r="1266" spans="1:1" ht="13.5">
      <c r="A1266" s="25"/>
    </row>
    <row r="1267" spans="1:1" ht="13.5">
      <c r="A1267" s="24"/>
    </row>
    <row r="1268" spans="1:1" ht="13.5">
      <c r="A1268" s="24"/>
    </row>
    <row r="1269" spans="1:1" ht="13.5">
      <c r="A1269" s="25"/>
    </row>
    <row r="1270" spans="1:1" ht="13.5">
      <c r="A1270" s="24"/>
    </row>
    <row r="1271" spans="1:1" ht="13.5">
      <c r="A1271" s="24"/>
    </row>
    <row r="1272" spans="1:1" ht="13.5">
      <c r="A1272" s="25"/>
    </row>
    <row r="1273" spans="1:1" ht="13.5">
      <c r="A1273" s="24"/>
    </row>
    <row r="1274" spans="1:1" ht="13.5">
      <c r="A1274" s="24"/>
    </row>
    <row r="1275" spans="1:1" ht="13.5">
      <c r="A1275" s="25"/>
    </row>
    <row r="1276" spans="1:1" ht="13.5">
      <c r="A1276" s="24"/>
    </row>
    <row r="1277" spans="1:1" ht="13.5">
      <c r="A1277" s="24"/>
    </row>
    <row r="1278" spans="1:1" ht="13.5">
      <c r="A1278" s="25"/>
    </row>
    <row r="1279" spans="1:1" ht="13.5">
      <c r="A1279" s="24"/>
    </row>
    <row r="1280" spans="1:1" ht="13.5">
      <c r="A1280" s="24"/>
    </row>
    <row r="1281" spans="1:1" ht="13.5">
      <c r="A1281" s="25"/>
    </row>
    <row r="1282" spans="1:1" ht="13.5">
      <c r="A1282" s="24"/>
    </row>
    <row r="1283" spans="1:1" ht="13.5">
      <c r="A1283" s="24"/>
    </row>
    <row r="1284" spans="1:1" ht="13.5">
      <c r="A1284" s="25"/>
    </row>
    <row r="1285" spans="1:1" ht="13.5">
      <c r="A1285" s="24"/>
    </row>
    <row r="1286" spans="1:1" ht="13.5">
      <c r="A1286" s="24"/>
    </row>
    <row r="1287" spans="1:1" ht="13.5">
      <c r="A1287" s="25"/>
    </row>
    <row r="1288" spans="1:1" ht="13.5">
      <c r="A1288" s="24"/>
    </row>
    <row r="1289" spans="1:1" ht="13.5">
      <c r="A1289" s="24"/>
    </row>
    <row r="1290" spans="1:1" ht="13.5">
      <c r="A1290" s="25"/>
    </row>
    <row r="1291" spans="1:1" ht="13.5">
      <c r="A1291" s="24"/>
    </row>
    <row r="1292" spans="1:1" ht="13.5">
      <c r="A1292" s="24"/>
    </row>
    <row r="1293" spans="1:1" ht="13.5">
      <c r="A1293" s="25"/>
    </row>
  </sheetData>
  <sheetProtection sheet="1" objects="1" scenarios="1"/>
  <mergeCells count="4">
    <mergeCell ref="A64:C64"/>
    <mergeCell ref="E64:F64"/>
    <mergeCell ref="A76:J76"/>
    <mergeCell ref="A78:J78"/>
  </mergeCells>
  <phoneticPr fontId="16" type="noConversion"/>
  <pageMargins left="0.7" right="0.7" top="0.78740157499999996" bottom="0.78740157499999996"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D50AA-B767-4B9F-A16F-28A6AE3C6C92}">
  <sheetPr>
    <pageSetUpPr fitToPage="1"/>
  </sheetPr>
  <dimension ref="A1:O57"/>
  <sheetViews>
    <sheetView zoomScaleNormal="100" workbookViewId="0">
      <selection activeCell="E29" sqref="E29"/>
    </sheetView>
  </sheetViews>
  <sheetFormatPr defaultColWidth="11.140625" defaultRowHeight="15"/>
  <cols>
    <col min="2" max="2" width="19.28515625" customWidth="1"/>
    <col min="3" max="11" width="13.42578125" customWidth="1"/>
    <col min="12" max="12" width="12.85546875" customWidth="1"/>
  </cols>
  <sheetData>
    <row r="1" spans="1:12" ht="15.75">
      <c r="A1" s="39" t="s">
        <v>136</v>
      </c>
    </row>
    <row r="2" spans="1:12" ht="15.75">
      <c r="A2" s="1"/>
    </row>
    <row r="3" spans="1:12" ht="15.75">
      <c r="A3" s="1" t="s">
        <v>1</v>
      </c>
      <c r="B3" s="43" t="s">
        <v>2</v>
      </c>
    </row>
    <row r="4" spans="1:12" ht="15.75">
      <c r="A4" s="1" t="s">
        <v>3</v>
      </c>
      <c r="B4" s="1" t="s">
        <v>4</v>
      </c>
    </row>
    <row r="5" spans="1:12" ht="15.75">
      <c r="A5" s="1" t="s">
        <v>5</v>
      </c>
      <c r="B5" s="1" t="s">
        <v>226</v>
      </c>
    </row>
    <row r="6" spans="1:12">
      <c r="E6" s="76"/>
      <c r="F6" s="76"/>
      <c r="G6" s="76"/>
      <c r="H6" s="76"/>
    </row>
    <row r="7" spans="1:12" s="10" customFormat="1" ht="13.5">
      <c r="A7" s="44" t="s">
        <v>10</v>
      </c>
      <c r="B7" s="44"/>
      <c r="C7" s="45" t="s">
        <v>11</v>
      </c>
      <c r="D7" s="90" t="s">
        <v>32</v>
      </c>
      <c r="E7" s="41"/>
      <c r="F7" s="41"/>
      <c r="G7" s="40"/>
      <c r="H7" s="41"/>
      <c r="I7" s="1"/>
      <c r="J7" s="1"/>
      <c r="K7" s="1"/>
      <c r="L7" s="1"/>
    </row>
    <row r="8" spans="1:12" s="10" customFormat="1" ht="13.5">
      <c r="A8" s="1" t="s">
        <v>215</v>
      </c>
      <c r="B8" s="1"/>
      <c r="C8" s="16" t="s">
        <v>137</v>
      </c>
      <c r="D8" s="55" t="s">
        <v>219</v>
      </c>
      <c r="E8" s="1"/>
      <c r="F8" s="1"/>
      <c r="H8" s="1"/>
      <c r="I8" s="1"/>
      <c r="J8" s="1"/>
      <c r="K8" s="1"/>
      <c r="L8" s="1"/>
    </row>
    <row r="9" spans="1:12" s="10" customFormat="1" ht="13.5">
      <c r="A9" s="1" t="s">
        <v>138</v>
      </c>
      <c r="B9" s="1"/>
      <c r="C9" s="16" t="s">
        <v>137</v>
      </c>
      <c r="D9" s="55" t="s">
        <v>174</v>
      </c>
      <c r="E9" s="1"/>
      <c r="F9" s="1"/>
      <c r="H9" s="1"/>
      <c r="I9" s="1"/>
      <c r="J9" s="1"/>
      <c r="K9" s="1"/>
      <c r="L9" s="1"/>
    </row>
    <row r="10" spans="1:12" s="10" customFormat="1" ht="13.5">
      <c r="A10" s="46" t="s">
        <v>218</v>
      </c>
      <c r="B10" s="1"/>
      <c r="C10" s="16" t="s">
        <v>102</v>
      </c>
      <c r="D10" s="91" t="s">
        <v>217</v>
      </c>
      <c r="E10" s="1"/>
      <c r="F10" s="1"/>
      <c r="H10" s="1"/>
      <c r="I10" s="1"/>
      <c r="J10" s="1"/>
      <c r="K10" s="1"/>
      <c r="L10" s="1"/>
    </row>
    <row r="11" spans="1:12" s="10" customFormat="1" ht="13.5">
      <c r="A11" s="46" t="s">
        <v>140</v>
      </c>
      <c r="B11" s="1"/>
      <c r="C11" s="16" t="s">
        <v>102</v>
      </c>
      <c r="D11" s="55" t="s">
        <v>173</v>
      </c>
      <c r="E11" s="1"/>
      <c r="F11" s="1"/>
      <c r="H11" s="1"/>
      <c r="I11" s="1"/>
      <c r="J11" s="1"/>
      <c r="K11" s="1"/>
      <c r="L11" s="1"/>
    </row>
    <row r="12" spans="1:12" s="10" customFormat="1" ht="13.5">
      <c r="A12" s="1" t="s">
        <v>141</v>
      </c>
      <c r="B12" s="1"/>
      <c r="C12" s="16" t="s">
        <v>142</v>
      </c>
      <c r="D12" s="55" t="s">
        <v>216</v>
      </c>
      <c r="E12" s="1"/>
      <c r="F12" s="1"/>
      <c r="H12" s="1"/>
      <c r="I12" s="1"/>
      <c r="J12" s="1"/>
      <c r="K12" s="1"/>
      <c r="L12" s="1"/>
    </row>
    <row r="13" spans="1:12" s="10" customFormat="1">
      <c r="A13" s="1" t="s">
        <v>220</v>
      </c>
      <c r="B13" s="1"/>
      <c r="C13" s="16" t="s">
        <v>170</v>
      </c>
      <c r="D13" s="55" t="s">
        <v>224</v>
      </c>
      <c r="E13" s="1"/>
      <c r="F13" s="1"/>
      <c r="H13" s="1"/>
      <c r="I13" s="1"/>
      <c r="J13" s="1"/>
      <c r="K13" s="1"/>
      <c r="L13" s="1"/>
    </row>
    <row r="14" spans="1:12" s="10" customFormat="1">
      <c r="A14" s="1" t="s">
        <v>221</v>
      </c>
      <c r="B14" s="1"/>
      <c r="C14" s="16" t="s">
        <v>170</v>
      </c>
      <c r="D14" s="55" t="s">
        <v>223</v>
      </c>
      <c r="E14" s="1"/>
      <c r="F14" s="1"/>
      <c r="H14" s="1"/>
      <c r="I14" s="1"/>
      <c r="J14" s="1"/>
      <c r="K14" s="1"/>
      <c r="L14" s="1"/>
    </row>
    <row r="15" spans="1:12">
      <c r="A15" s="76"/>
      <c r="B15" s="76"/>
      <c r="C15" s="76"/>
      <c r="D15" s="76"/>
      <c r="E15" s="76"/>
      <c r="F15" s="76"/>
      <c r="G15" s="76"/>
      <c r="H15" s="76"/>
    </row>
    <row r="16" spans="1:12" s="1" customFormat="1" ht="33" customHeight="1">
      <c r="A16" s="97" t="s">
        <v>143</v>
      </c>
      <c r="B16" s="104" t="s">
        <v>557</v>
      </c>
      <c r="C16" s="146" t="s">
        <v>145</v>
      </c>
      <c r="D16" s="146" t="s">
        <v>146</v>
      </c>
      <c r="E16" s="146" t="s">
        <v>147</v>
      </c>
      <c r="F16" s="146" t="s">
        <v>148</v>
      </c>
      <c r="G16" s="147" t="s">
        <v>222</v>
      </c>
      <c r="H16" s="156" t="s">
        <v>150</v>
      </c>
      <c r="I16" s="98"/>
    </row>
    <row r="17" spans="1:15" s="1" customFormat="1" ht="33" customHeight="1">
      <c r="A17" s="105" t="s">
        <v>151</v>
      </c>
      <c r="B17" s="106"/>
      <c r="C17" s="148">
        <v>0</v>
      </c>
      <c r="D17" s="149" t="s">
        <v>175</v>
      </c>
      <c r="E17" s="148" t="s">
        <v>152</v>
      </c>
      <c r="F17" s="150" t="s">
        <v>171</v>
      </c>
      <c r="G17" s="148" t="s">
        <v>153</v>
      </c>
      <c r="H17" s="157" t="s">
        <v>154</v>
      </c>
      <c r="I17" s="20"/>
    </row>
    <row r="18" spans="1:15" s="1" customFormat="1" ht="33" customHeight="1">
      <c r="A18" s="107" t="s">
        <v>155</v>
      </c>
      <c r="B18" s="145"/>
      <c r="C18" s="151" t="s">
        <v>160</v>
      </c>
      <c r="D18" s="151" t="s">
        <v>176</v>
      </c>
      <c r="E18" s="152" t="s">
        <v>156</v>
      </c>
      <c r="F18" s="153" t="s">
        <v>157</v>
      </c>
      <c r="G18" s="152" t="s">
        <v>158</v>
      </c>
      <c r="H18" s="158" t="s">
        <v>159</v>
      </c>
      <c r="I18" s="20"/>
    </row>
    <row r="19" spans="1:15" s="1" customFormat="1" ht="33" customHeight="1">
      <c r="A19" s="107" t="s">
        <v>161</v>
      </c>
      <c r="B19" s="145"/>
      <c r="C19" s="151" t="s">
        <v>177</v>
      </c>
      <c r="D19" s="151" t="s">
        <v>179</v>
      </c>
      <c r="E19" s="152" t="s">
        <v>183</v>
      </c>
      <c r="F19" s="153" t="s">
        <v>180</v>
      </c>
      <c r="G19" s="152" t="s">
        <v>182</v>
      </c>
      <c r="H19" s="158" t="s">
        <v>184</v>
      </c>
      <c r="I19" s="20"/>
    </row>
    <row r="20" spans="1:15" s="1" customFormat="1" ht="33" customHeight="1">
      <c r="A20" s="107" t="s">
        <v>162</v>
      </c>
      <c r="B20" s="145"/>
      <c r="C20" s="152" t="s">
        <v>163</v>
      </c>
      <c r="D20" s="152" t="s">
        <v>181</v>
      </c>
      <c r="E20" s="154" t="s">
        <v>164</v>
      </c>
      <c r="F20" s="153" t="s">
        <v>178</v>
      </c>
      <c r="G20" s="152" t="s">
        <v>165</v>
      </c>
      <c r="H20" s="158" t="s">
        <v>166</v>
      </c>
      <c r="I20" s="20"/>
    </row>
    <row r="21" spans="1:15" s="1" customFormat="1" ht="33" customHeight="1">
      <c r="A21" s="105" t="s">
        <v>167</v>
      </c>
      <c r="B21" s="108"/>
      <c r="C21" s="148" t="s">
        <v>101</v>
      </c>
      <c r="D21" s="148" t="s">
        <v>154</v>
      </c>
      <c r="E21" s="150" t="s">
        <v>171</v>
      </c>
      <c r="F21" s="155">
        <v>0</v>
      </c>
      <c r="G21" s="148" t="s">
        <v>154</v>
      </c>
      <c r="H21" s="157" t="s">
        <v>153</v>
      </c>
      <c r="I21" s="99"/>
    </row>
    <row r="22" spans="1:15">
      <c r="D22" s="76"/>
      <c r="J22" s="76"/>
      <c r="K22" s="76"/>
    </row>
    <row r="23" spans="1:15" ht="15.75">
      <c r="A23" s="44" t="s">
        <v>30</v>
      </c>
      <c r="B23" s="49"/>
      <c r="C23" s="29" t="s">
        <v>31</v>
      </c>
      <c r="D23" s="47" t="s">
        <v>11</v>
      </c>
      <c r="E23" s="45" t="s">
        <v>32</v>
      </c>
      <c r="F23" s="48"/>
      <c r="G23" s="48"/>
      <c r="H23" s="48"/>
      <c r="I23" s="48"/>
      <c r="J23" s="48"/>
      <c r="K23" s="48"/>
      <c r="L23" s="6"/>
      <c r="M23" s="6"/>
      <c r="N23" s="6"/>
      <c r="O23" s="6"/>
    </row>
    <row r="24" spans="1:15" ht="15.75">
      <c r="A24" s="1" t="s">
        <v>168</v>
      </c>
      <c r="B24" s="39"/>
      <c r="C24" s="30" t="str">
        <f>COMPLEX(50,0)</f>
        <v>50</v>
      </c>
      <c r="D24" s="16" t="s">
        <v>34</v>
      </c>
      <c r="E24" s="16" t="s">
        <v>169</v>
      </c>
      <c r="F24" s="2"/>
      <c r="G24" s="2"/>
      <c r="H24" s="2"/>
      <c r="I24" s="2"/>
      <c r="J24" s="2"/>
      <c r="K24" s="2"/>
      <c r="L24" s="6"/>
      <c r="M24" s="6"/>
      <c r="N24" s="6"/>
      <c r="O24" s="6"/>
    </row>
    <row r="25" spans="1:15" ht="6.75" customHeight="1">
      <c r="D25" s="76"/>
    </row>
    <row r="26" spans="1:15" ht="30" customHeight="1">
      <c r="A26" s="44" t="s">
        <v>36</v>
      </c>
      <c r="B26" s="44"/>
      <c r="C26" s="77"/>
      <c r="D26" s="56" t="s">
        <v>11</v>
      </c>
      <c r="E26" s="100" t="s">
        <v>144</v>
      </c>
      <c r="F26" s="101" t="s">
        <v>145</v>
      </c>
      <c r="G26" s="101" t="s">
        <v>146</v>
      </c>
      <c r="H26" s="102" t="s">
        <v>147</v>
      </c>
      <c r="I26" s="102" t="s">
        <v>148</v>
      </c>
      <c r="J26" s="103" t="s">
        <v>149</v>
      </c>
      <c r="K26" s="103" t="s">
        <v>150</v>
      </c>
      <c r="L26" s="96"/>
    </row>
    <row r="27" spans="1:15" ht="15.75">
      <c r="A27" s="1" t="s">
        <v>138</v>
      </c>
      <c r="B27" s="1"/>
      <c r="C27" s="30">
        <v>70</v>
      </c>
      <c r="D27" s="16" t="s">
        <v>137</v>
      </c>
      <c r="E27" s="92"/>
      <c r="F27" s="2">
        <f>ABS((C27-C24)/(C27+C24))</f>
        <v>0.16666666666666666</v>
      </c>
      <c r="G27" s="2">
        <f>20*LOG10(ABS(F27))</f>
        <v>-15.563025007672874</v>
      </c>
      <c r="H27" s="2">
        <f>MAX(C27/$C$24,$C$24/C27)</f>
        <v>1.4</v>
      </c>
      <c r="I27" s="2">
        <f>20*LOG10(ABS((C27+C24)/(C27-C24)))</f>
        <v>15.563025007672874</v>
      </c>
      <c r="J27" s="2">
        <f>100/(1/(C24+C24)*0.5)*((1/(C24+C27))^2*C27)</f>
        <v>97.222222222222229</v>
      </c>
      <c r="K27" s="2">
        <f t="shared" ref="K27:K32" si="0">100-J27</f>
        <v>2.7777777777777715</v>
      </c>
      <c r="L27" s="2"/>
    </row>
    <row r="28" spans="1:15" ht="15.75">
      <c r="A28" s="46" t="s">
        <v>139</v>
      </c>
      <c r="B28" s="1"/>
      <c r="C28" s="33" t="s">
        <v>185</v>
      </c>
      <c r="D28" s="16" t="s">
        <v>102</v>
      </c>
      <c r="E28" s="93">
        <f>(1+C28)/(1-C28)*C24</f>
        <v>51.010101010101003</v>
      </c>
      <c r="F28" s="14"/>
      <c r="G28" s="14"/>
      <c r="H28" s="94">
        <f>(1+ABS(C28))/(1-ABS(C28))</f>
        <v>1.0202020202020201</v>
      </c>
      <c r="I28" s="20">
        <f>20*LOG10(ABS((E28+$C$24)/(E28-$C$24)))</f>
        <v>40.000000000000064</v>
      </c>
      <c r="J28" s="20">
        <f>100/(1/(C24+C24)*0.5)*((1/(C24+E28))^2*E28)</f>
        <v>99.990000000000009</v>
      </c>
      <c r="K28" s="2">
        <f t="shared" si="0"/>
        <v>9.9999999999909051E-3</v>
      </c>
      <c r="L28" s="2"/>
    </row>
    <row r="29" spans="1:15" ht="15.75">
      <c r="A29" s="295" t="s">
        <v>172</v>
      </c>
      <c r="B29" s="296"/>
      <c r="C29" s="297" t="s">
        <v>186</v>
      </c>
      <c r="D29" s="298" t="s">
        <v>102</v>
      </c>
      <c r="E29" s="93">
        <f>C29*C24</f>
        <v>51</v>
      </c>
      <c r="F29" s="1">
        <f>ABS((E29-$C$24)/(E29+$C$24))</f>
        <v>9.9009900990099011E-3</v>
      </c>
      <c r="G29" s="20">
        <f>20*LOG10(ABS(F29))</f>
        <v>-40.086427475652854</v>
      </c>
      <c r="H29" s="14"/>
      <c r="I29" s="20">
        <f>20*LOG10(ABS((E29+$C$24)/(E29-$C$24)))</f>
        <v>40.086427475652854</v>
      </c>
      <c r="J29" s="20">
        <f>100/(1/(C24+C24)*0.5)*((1/(C24+E29))^2*E29)</f>
        <v>99.990197039505929</v>
      </c>
      <c r="K29" s="2">
        <f t="shared" si="0"/>
        <v>9.8029604940705894E-3</v>
      </c>
      <c r="L29" s="2"/>
    </row>
    <row r="30" spans="1:15" ht="15.75">
      <c r="A30" s="295"/>
      <c r="B30" s="296"/>
      <c r="C30" s="297"/>
      <c r="D30" s="298"/>
      <c r="E30" s="93">
        <f>1/C29*C24</f>
        <v>49.019607843137251</v>
      </c>
      <c r="F30" s="1">
        <f>ABS((E30-$C$24)/(E30+$C$24))</f>
        <v>9.9009900990099375E-3</v>
      </c>
      <c r="G30" s="20">
        <f>20*LOG10(ABS(F30))</f>
        <v>-40.086427475652819</v>
      </c>
      <c r="H30" s="14"/>
      <c r="I30" s="20">
        <f>20*LOG10(ABS((E30+$C$24)/(E30-$C$24)))</f>
        <v>40.086427475652819</v>
      </c>
      <c r="J30" s="20">
        <f>100/(1/(C24+C24)*0.5)*((1/(C24+E30))^2*E30)</f>
        <v>99.990197039505915</v>
      </c>
      <c r="K30" s="2">
        <f t="shared" si="0"/>
        <v>9.8029604940848003E-3</v>
      </c>
      <c r="L30" s="2"/>
    </row>
    <row r="31" spans="1:15" ht="15.75">
      <c r="A31" s="295" t="s">
        <v>141</v>
      </c>
      <c r="B31" s="295"/>
      <c r="C31" s="299">
        <v>20</v>
      </c>
      <c r="D31" s="298" t="s">
        <v>142</v>
      </c>
      <c r="E31" s="95">
        <f>-(10^(-C31/20)+1)/(10^(-C31/20)-1)*C24</f>
        <v>61.111111111111114</v>
      </c>
      <c r="F31" s="1">
        <f>ABS((E31-$C$24)/(E31+$C$24))</f>
        <v>0.10000000000000002</v>
      </c>
      <c r="G31" s="20">
        <f>20*LOG10(ABS(F31))</f>
        <v>-19.999999999999996</v>
      </c>
      <c r="H31" s="2">
        <f>MAX(E31/$C$24,$C$24/E31)</f>
        <v>1.2222222222222223</v>
      </c>
      <c r="I31" s="14"/>
      <c r="J31" s="2">
        <f>100/(1/(C24+C24)*0.5)*((1/(C24+E31))^2*E31)</f>
        <v>98.999999999999986</v>
      </c>
      <c r="K31" s="2">
        <f t="shared" si="0"/>
        <v>1.0000000000000142</v>
      </c>
      <c r="L31" s="2"/>
    </row>
    <row r="32" spans="1:15" ht="15.75">
      <c r="A32" s="295"/>
      <c r="B32" s="295"/>
      <c r="C32" s="299"/>
      <c r="D32" s="298"/>
      <c r="E32" s="95">
        <f>-1/((10^(-C31/20)+1)/(10^(-C31/20)-1))*C24</f>
        <v>40.909090909090907</v>
      </c>
      <c r="F32" s="1">
        <f>ABS((E32-$C$24)/(E32+$C$24))</f>
        <v>0.10000000000000003</v>
      </c>
      <c r="G32" s="20">
        <f>20*LOG10(ABS(F32))</f>
        <v>-19.999999999999996</v>
      </c>
      <c r="H32" s="2">
        <f>MAX(E32/$C$24,$C$24/E32)</f>
        <v>1.2222222222222223</v>
      </c>
      <c r="I32" s="14"/>
      <c r="J32" s="2">
        <f>100/(1/(C24+C24)*0.5)*((1/(C24+E32))^2*E32)</f>
        <v>99.000000000000014</v>
      </c>
      <c r="K32" s="2">
        <f t="shared" si="0"/>
        <v>0.99999999999998579</v>
      </c>
      <c r="L32" s="2"/>
    </row>
    <row r="33" spans="1:12" ht="15.75">
      <c r="A33" s="46"/>
      <c r="B33" s="46"/>
      <c r="C33" s="119"/>
      <c r="D33" s="46"/>
      <c r="E33" s="120"/>
      <c r="F33" s="1"/>
      <c r="G33" s="20"/>
      <c r="H33" s="2"/>
      <c r="I33" s="1"/>
      <c r="J33" s="2"/>
      <c r="K33" s="2"/>
      <c r="L33" s="2"/>
    </row>
    <row r="34" spans="1:12" ht="15.75">
      <c r="A34" s="46" t="s">
        <v>210</v>
      </c>
      <c r="B34" s="46"/>
      <c r="C34" s="119"/>
      <c r="D34" s="46"/>
      <c r="E34" s="120"/>
      <c r="F34" s="1"/>
      <c r="G34" s="20"/>
      <c r="H34" s="2"/>
      <c r="I34" s="1"/>
      <c r="J34" s="2"/>
      <c r="K34" s="2"/>
      <c r="L34" s="2"/>
    </row>
    <row r="35" spans="1:12" ht="15.75" customHeight="1">
      <c r="A35" s="295" t="s">
        <v>225</v>
      </c>
      <c r="B35" s="295"/>
      <c r="C35" s="295"/>
      <c r="D35" s="295"/>
      <c r="E35" s="295"/>
      <c r="F35" s="295"/>
      <c r="G35" s="295"/>
      <c r="H35" s="295"/>
      <c r="I35" s="295"/>
      <c r="J35" s="295"/>
      <c r="K35" s="295"/>
      <c r="L35" s="2"/>
    </row>
    <row r="36" spans="1:12">
      <c r="L36" s="85"/>
    </row>
    <row r="37" spans="1:12" ht="18.75" customHeight="1">
      <c r="A37" s="288" t="s">
        <v>37</v>
      </c>
      <c r="B37" s="288"/>
      <c r="C37" s="288"/>
      <c r="D37" s="288"/>
      <c r="E37" s="288"/>
      <c r="F37" s="288"/>
      <c r="G37" s="288"/>
      <c r="H37" s="288"/>
      <c r="I37" s="288"/>
      <c r="J37" s="288"/>
      <c r="K37" s="288"/>
    </row>
    <row r="39" spans="1:12" ht="14.65" customHeight="1"/>
    <row r="45" spans="1:12">
      <c r="B45" s="89"/>
    </row>
    <row r="46" spans="1:12">
      <c r="A46" s="83"/>
    </row>
    <row r="47" spans="1:12">
      <c r="A47" s="83"/>
    </row>
    <row r="50" spans="2:6">
      <c r="C50" s="88"/>
    </row>
    <row r="52" spans="2:6">
      <c r="B52" s="89"/>
    </row>
    <row r="54" spans="2:6">
      <c r="E54" s="83"/>
      <c r="F54" s="83"/>
    </row>
    <row r="57" spans="2:6">
      <c r="C57" s="88"/>
    </row>
  </sheetData>
  <sheetProtection sheet="1" objects="1" scenarios="1"/>
  <mergeCells count="8">
    <mergeCell ref="A37:K37"/>
    <mergeCell ref="A29:B30"/>
    <mergeCell ref="C29:C30"/>
    <mergeCell ref="D29:D30"/>
    <mergeCell ref="A31:B32"/>
    <mergeCell ref="C31:C32"/>
    <mergeCell ref="D31:D32"/>
    <mergeCell ref="A35:K35"/>
  </mergeCells>
  <pageMargins left="0.7" right="0.7" top="0.78740157499999996" bottom="0.78740157499999996" header="0.3" footer="0.3"/>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D9836-38C8-4CC2-A1B7-452B0B8B5264}">
  <sheetPr>
    <pageSetUpPr fitToPage="1"/>
  </sheetPr>
  <dimension ref="A1:N49"/>
  <sheetViews>
    <sheetView zoomScaleNormal="100" workbookViewId="0">
      <selection activeCell="C12" sqref="C12"/>
    </sheetView>
  </sheetViews>
  <sheetFormatPr defaultColWidth="11.42578125" defaultRowHeight="13.5"/>
  <cols>
    <col min="1" max="5" width="10.7109375" style="10" customWidth="1"/>
    <col min="6" max="6" width="10.7109375" style="1" customWidth="1"/>
    <col min="7" max="13" width="10.7109375" style="10" customWidth="1"/>
    <col min="14" max="16384" width="11.42578125" style="10"/>
  </cols>
  <sheetData>
    <row r="1" spans="1:14">
      <c r="A1" s="39" t="s">
        <v>194</v>
      </c>
      <c r="B1" s="1"/>
      <c r="C1" s="1"/>
      <c r="D1" s="1"/>
      <c r="E1" s="1"/>
      <c r="G1" s="1"/>
      <c r="H1" s="1"/>
    </row>
    <row r="2" spans="1:14">
      <c r="A2" s="1"/>
      <c r="B2" s="1"/>
      <c r="C2" s="1"/>
      <c r="D2" s="1"/>
      <c r="E2" s="1"/>
      <c r="G2" s="1"/>
      <c r="H2" s="1"/>
    </row>
    <row r="3" spans="1:14">
      <c r="A3" s="1" t="s">
        <v>1</v>
      </c>
      <c r="B3" s="43" t="s">
        <v>2</v>
      </c>
      <c r="C3" s="1"/>
      <c r="D3" s="1"/>
      <c r="E3" s="1"/>
      <c r="F3" s="10"/>
    </row>
    <row r="4" spans="1:14">
      <c r="A4" s="1" t="s">
        <v>3</v>
      </c>
      <c r="B4" s="1" t="s">
        <v>4</v>
      </c>
      <c r="C4" s="1"/>
      <c r="D4" s="1"/>
      <c r="E4" s="1"/>
      <c r="F4" s="10"/>
    </row>
    <row r="5" spans="1:14">
      <c r="A5" s="1" t="s">
        <v>5</v>
      </c>
      <c r="B5" s="1" t="s">
        <v>228</v>
      </c>
      <c r="C5" s="1"/>
      <c r="D5" s="1"/>
      <c r="E5" s="1"/>
      <c r="F5" s="10"/>
    </row>
    <row r="6" spans="1:14">
      <c r="K6" s="2"/>
      <c r="L6" s="2"/>
      <c r="M6" s="2"/>
      <c r="N6" s="2"/>
    </row>
    <row r="7" spans="1:14">
      <c r="A7" s="1" t="s">
        <v>200</v>
      </c>
      <c r="L7" s="2"/>
      <c r="M7" s="2"/>
      <c r="N7" s="2"/>
    </row>
    <row r="8" spans="1:14">
      <c r="A8" s="1" t="s">
        <v>201</v>
      </c>
      <c r="L8" s="2"/>
      <c r="M8" s="2"/>
      <c r="N8" s="2"/>
    </row>
    <row r="9" spans="1:14">
      <c r="K9" s="2"/>
      <c r="L9" s="2"/>
      <c r="M9" s="2"/>
      <c r="N9" s="2"/>
    </row>
    <row r="10" spans="1:14">
      <c r="A10" s="44" t="s">
        <v>42</v>
      </c>
      <c r="B10" s="48"/>
      <c r="C10" s="45" t="s">
        <v>31</v>
      </c>
      <c r="D10" s="45" t="s">
        <v>11</v>
      </c>
      <c r="F10" s="10"/>
    </row>
    <row r="11" spans="1:14">
      <c r="A11" s="46" t="s">
        <v>97</v>
      </c>
      <c r="B11" s="2"/>
      <c r="C11" s="16">
        <f>1/SQRT(C12*C13)</f>
        <v>299795637.69321626</v>
      </c>
      <c r="D11" s="16" t="s">
        <v>46</v>
      </c>
      <c r="F11" s="10"/>
    </row>
    <row r="12" spans="1:14">
      <c r="A12" s="46" t="s">
        <v>49</v>
      </c>
      <c r="B12" s="2"/>
      <c r="C12" s="16">
        <v>8.8539999999999992E-12</v>
      </c>
      <c r="D12" s="16" t="s">
        <v>50</v>
      </c>
      <c r="F12" s="10"/>
    </row>
    <row r="13" spans="1:14">
      <c r="A13" s="46" t="s">
        <v>53</v>
      </c>
      <c r="B13" s="2"/>
      <c r="C13" s="16">
        <f>4*PI()*0.0000001</f>
        <v>1.2566370614359173E-6</v>
      </c>
      <c r="D13" s="16" t="s">
        <v>54</v>
      </c>
      <c r="F13" s="10"/>
    </row>
    <row r="14" spans="1:14" ht="15.75" customHeight="1">
      <c r="A14" s="46"/>
      <c r="B14" s="1"/>
      <c r="C14" s="46"/>
      <c r="D14" s="17"/>
      <c r="E14" s="51"/>
      <c r="F14" s="2"/>
      <c r="H14" s="2"/>
      <c r="I14" s="2"/>
      <c r="J14" s="2"/>
      <c r="K14" s="17"/>
      <c r="L14" s="17"/>
      <c r="M14" s="17"/>
    </row>
    <row r="15" spans="1:14">
      <c r="A15" s="44" t="s">
        <v>30</v>
      </c>
      <c r="B15" s="44"/>
      <c r="C15" s="53" t="s">
        <v>31</v>
      </c>
      <c r="D15" s="56" t="s">
        <v>11</v>
      </c>
      <c r="E15" s="57" t="s">
        <v>32</v>
      </c>
      <c r="F15" s="48"/>
      <c r="G15" s="48"/>
      <c r="H15" s="41"/>
      <c r="I15" s="40"/>
      <c r="J15" s="40"/>
      <c r="K15" s="40"/>
      <c r="L15" s="40"/>
      <c r="M15" s="40"/>
    </row>
    <row r="16" spans="1:14">
      <c r="A16" s="16" t="s">
        <v>202</v>
      </c>
      <c r="C16" s="109" t="s">
        <v>101</v>
      </c>
      <c r="D16" s="112" t="s">
        <v>102</v>
      </c>
      <c r="E16" s="16" t="s">
        <v>204</v>
      </c>
      <c r="F16" s="10"/>
      <c r="H16" s="1"/>
    </row>
    <row r="17" spans="1:13">
      <c r="A17" s="46" t="s">
        <v>203</v>
      </c>
      <c r="C17" s="110" t="s">
        <v>101</v>
      </c>
      <c r="D17" s="55" t="s">
        <v>102</v>
      </c>
      <c r="E17" s="16" t="s">
        <v>205</v>
      </c>
      <c r="F17" s="10"/>
      <c r="H17" s="1"/>
    </row>
    <row r="18" spans="1:13">
      <c r="A18" s="46" t="s">
        <v>198</v>
      </c>
      <c r="C18" s="21">
        <f>1/SQRT(C12*C16*C13*C17)</f>
        <v>299795637.69321626</v>
      </c>
      <c r="D18" s="55" t="s">
        <v>195</v>
      </c>
      <c r="E18" s="16" t="s">
        <v>199</v>
      </c>
      <c r="F18" s="10"/>
      <c r="H18" s="1"/>
    </row>
    <row r="19" spans="1:13" ht="6.75" customHeight="1">
      <c r="C19" s="17"/>
      <c r="K19" s="17"/>
      <c r="L19" s="17"/>
      <c r="M19" s="17"/>
    </row>
    <row r="20" spans="1:13">
      <c r="A20" s="49" t="s">
        <v>119</v>
      </c>
      <c r="B20" s="40"/>
      <c r="C20" s="17"/>
      <c r="D20" s="44"/>
      <c r="E20" s="44"/>
      <c r="F20" s="40"/>
      <c r="G20" s="40"/>
      <c r="H20" s="41"/>
      <c r="I20" s="40"/>
      <c r="J20" s="40"/>
      <c r="K20" s="115"/>
      <c r="L20" s="40"/>
      <c r="M20" s="40"/>
    </row>
    <row r="21" spans="1:13">
      <c r="A21" s="41" t="s">
        <v>206</v>
      </c>
      <c r="B21" s="40"/>
      <c r="C21" s="40"/>
      <c r="D21" s="44"/>
      <c r="E21" s="44"/>
      <c r="F21" s="48"/>
      <c r="G21" s="48"/>
      <c r="H21" s="41"/>
      <c r="I21" s="40"/>
      <c r="J21" s="40"/>
      <c r="K21" s="115"/>
      <c r="L21" s="40"/>
      <c r="M21" s="40"/>
    </row>
    <row r="22" spans="1:13">
      <c r="A22" s="111" t="s">
        <v>36</v>
      </c>
      <c r="B22" s="17"/>
      <c r="C22" s="45" t="s">
        <v>31</v>
      </c>
      <c r="D22" s="53" t="s">
        <v>11</v>
      </c>
      <c r="E22" s="73" t="s">
        <v>111</v>
      </c>
      <c r="F22" s="87" t="s">
        <v>123</v>
      </c>
      <c r="G22" s="87" t="s">
        <v>208</v>
      </c>
      <c r="H22" s="75" t="s">
        <v>32</v>
      </c>
      <c r="I22" s="42"/>
      <c r="J22" s="42"/>
      <c r="K22" s="40"/>
      <c r="L22" s="115"/>
      <c r="M22" s="40"/>
    </row>
    <row r="23" spans="1:13">
      <c r="A23" s="1" t="s">
        <v>95</v>
      </c>
      <c r="B23" s="1"/>
      <c r="C23" s="114">
        <v>3E+16</v>
      </c>
      <c r="D23" s="15" t="s">
        <v>96</v>
      </c>
      <c r="E23" s="18"/>
      <c r="F23" s="20">
        <f>$C$11/(C23*SQRT(C16*C17))</f>
        <v>9.9931879231072086E-9</v>
      </c>
      <c r="G23" s="117">
        <f>F23/2</f>
        <v>4.9965939615536043E-9</v>
      </c>
      <c r="H23" s="16" t="s">
        <v>196</v>
      </c>
    </row>
    <row r="24" spans="1:13">
      <c r="A24" s="1" t="s">
        <v>98</v>
      </c>
      <c r="B24" s="1"/>
      <c r="C24" s="110" t="s">
        <v>207</v>
      </c>
      <c r="D24" s="15" t="s">
        <v>99</v>
      </c>
      <c r="E24" s="113">
        <f>$C$11/(C24*SQRT(C16*C17))</f>
        <v>1002660995.6294858</v>
      </c>
      <c r="F24" s="4"/>
      <c r="G24" s="4"/>
      <c r="H24" s="16" t="s">
        <v>197</v>
      </c>
    </row>
    <row r="28" spans="1:13">
      <c r="H28" s="20"/>
    </row>
    <row r="30" spans="1:13" s="22" customFormat="1">
      <c r="A30" s="10"/>
      <c r="B30" s="10"/>
      <c r="C30" s="10"/>
      <c r="D30" s="10"/>
      <c r="E30" s="10"/>
      <c r="F30" s="1"/>
      <c r="G30" s="10"/>
      <c r="H30" s="10"/>
      <c r="I30" s="10"/>
      <c r="J30" s="10"/>
    </row>
    <row r="33" spans="1:13">
      <c r="A33" s="116"/>
      <c r="B33" s="116"/>
      <c r="C33" s="116"/>
      <c r="D33" s="116"/>
      <c r="E33" s="116"/>
      <c r="F33" s="116"/>
      <c r="G33" s="116"/>
    </row>
    <row r="34" spans="1:13" ht="12" customHeight="1">
      <c r="A34" s="36"/>
      <c r="B34" s="35"/>
      <c r="C34" s="35"/>
      <c r="D34" s="35"/>
      <c r="E34" s="35"/>
      <c r="F34" s="37"/>
      <c r="G34" s="37"/>
      <c r="H34" s="22"/>
      <c r="I34" s="22"/>
      <c r="J34" s="22"/>
    </row>
    <row r="35" spans="1:13">
      <c r="A35" s="35"/>
      <c r="B35" s="35"/>
      <c r="C35" s="35"/>
      <c r="D35" s="35"/>
      <c r="E35" s="35"/>
      <c r="F35" s="37"/>
      <c r="G35" s="35"/>
    </row>
    <row r="38" spans="1:13" ht="12">
      <c r="A38" s="85"/>
      <c r="B38" s="85"/>
      <c r="C38" s="85"/>
      <c r="D38" s="85"/>
      <c r="E38" s="85"/>
      <c r="F38" s="85"/>
    </row>
    <row r="39" spans="1:13" ht="12">
      <c r="A39" s="85"/>
      <c r="B39" s="85"/>
      <c r="C39" s="85"/>
      <c r="D39" s="85"/>
      <c r="E39" s="85"/>
      <c r="F39" s="85"/>
    </row>
    <row r="40" spans="1:13" ht="12">
      <c r="A40" s="85"/>
      <c r="B40" s="85"/>
      <c r="C40" s="85"/>
      <c r="D40" s="85"/>
      <c r="E40" s="85"/>
      <c r="F40" s="85"/>
    </row>
    <row r="46" spans="1:13" ht="15">
      <c r="A46" s="46" t="s">
        <v>210</v>
      </c>
      <c r="B46" s="46"/>
      <c r="C46" s="119"/>
      <c r="D46" s="46"/>
      <c r="E46" s="120"/>
      <c r="G46" s="20"/>
      <c r="H46" s="2"/>
      <c r="I46" s="1"/>
      <c r="J46" s="2"/>
      <c r="K46" s="2"/>
    </row>
    <row r="47" spans="1:13">
      <c r="A47" s="46" t="s">
        <v>227</v>
      </c>
      <c r="B47" s="46"/>
      <c r="C47" s="46"/>
      <c r="D47" s="46"/>
      <c r="E47" s="46"/>
      <c r="F47" s="46"/>
      <c r="G47" s="46"/>
      <c r="H47" s="46"/>
      <c r="I47" s="46"/>
      <c r="J47" s="46"/>
      <c r="K47" s="46"/>
      <c r="L47" s="124"/>
      <c r="M47" s="124"/>
    </row>
    <row r="49" spans="1:13" ht="21.75" customHeight="1">
      <c r="A49" s="288" t="s">
        <v>37</v>
      </c>
      <c r="B49" s="288"/>
      <c r="C49" s="288"/>
      <c r="D49" s="288"/>
      <c r="E49" s="288"/>
      <c r="F49" s="288"/>
      <c r="G49" s="288"/>
      <c r="H49" s="288"/>
      <c r="I49" s="288"/>
      <c r="J49" s="288"/>
      <c r="K49" s="288"/>
      <c r="L49" s="288"/>
      <c r="M49" s="288"/>
    </row>
  </sheetData>
  <sheetProtection sheet="1" objects="1" scenarios="1"/>
  <mergeCells count="1">
    <mergeCell ref="A49:M49"/>
  </mergeCells>
  <pageMargins left="0.25" right="0.25" top="0.75" bottom="0.75" header="0.3" footer="0.3"/>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B535C-FA7E-4EBB-9537-489566EBE4E3}">
  <dimension ref="A1:M36"/>
  <sheetViews>
    <sheetView zoomScaleNormal="100" workbookViewId="0">
      <selection activeCell="L26" sqref="L26"/>
    </sheetView>
  </sheetViews>
  <sheetFormatPr defaultColWidth="8.85546875" defaultRowHeight="15"/>
  <cols>
    <col min="1" max="1" width="40.140625" bestFit="1" customWidth="1"/>
  </cols>
  <sheetData>
    <row r="1" spans="1:13" ht="15.75">
      <c r="A1" s="39" t="s">
        <v>303</v>
      </c>
      <c r="B1" s="1"/>
      <c r="C1" s="1"/>
      <c r="D1" s="1"/>
      <c r="E1" s="1"/>
      <c r="F1" s="1"/>
      <c r="G1" s="1"/>
      <c r="H1" s="1"/>
      <c r="I1" s="10"/>
      <c r="J1" s="10"/>
      <c r="K1" s="10"/>
      <c r="L1" s="10"/>
      <c r="M1" s="10"/>
    </row>
    <row r="2" spans="1:13" ht="15.75">
      <c r="A2" s="1"/>
      <c r="B2" s="1"/>
      <c r="C2" s="1"/>
      <c r="D2" s="1"/>
      <c r="E2" s="1"/>
      <c r="F2" s="1"/>
      <c r="G2" s="1"/>
      <c r="H2" s="1"/>
      <c r="I2" s="10"/>
      <c r="J2" s="10"/>
      <c r="K2" s="10"/>
      <c r="L2" s="10"/>
      <c r="M2" s="10"/>
    </row>
    <row r="3" spans="1:13" ht="15.75">
      <c r="A3" s="1" t="s">
        <v>1</v>
      </c>
      <c r="B3" s="43" t="s">
        <v>2</v>
      </c>
      <c r="C3" s="1"/>
      <c r="D3" s="1"/>
      <c r="E3" s="1"/>
      <c r="F3" s="10"/>
      <c r="G3" s="10"/>
      <c r="H3" s="10"/>
      <c r="I3" s="10"/>
      <c r="J3" s="10"/>
      <c r="K3" s="10"/>
      <c r="L3" s="10"/>
      <c r="M3" s="10"/>
    </row>
    <row r="4" spans="1:13" ht="15.75">
      <c r="A4" s="1" t="s">
        <v>3</v>
      </c>
      <c r="B4" s="1" t="s">
        <v>4</v>
      </c>
      <c r="C4" s="1"/>
      <c r="D4" s="1"/>
      <c r="E4" s="1"/>
      <c r="F4" s="10"/>
      <c r="G4" s="10"/>
      <c r="H4" s="10"/>
      <c r="I4" s="10"/>
      <c r="J4" s="10"/>
      <c r="K4" s="10"/>
      <c r="L4" s="10"/>
      <c r="M4" s="10"/>
    </row>
    <row r="5" spans="1:13" ht="15.75">
      <c r="A5" s="1" t="s">
        <v>5</v>
      </c>
      <c r="B5" s="1" t="s">
        <v>228</v>
      </c>
      <c r="C5" s="1"/>
      <c r="D5" s="1"/>
      <c r="E5" s="1"/>
      <c r="F5" s="10"/>
      <c r="G5" s="10"/>
      <c r="H5" s="10"/>
      <c r="I5" s="10"/>
      <c r="J5" s="10"/>
      <c r="K5" s="10"/>
      <c r="L5" s="10"/>
      <c r="M5" s="10"/>
    </row>
    <row r="6" spans="1:13" ht="15.75">
      <c r="A6" s="50"/>
      <c r="B6" s="50"/>
      <c r="C6" s="50"/>
      <c r="D6" s="50"/>
      <c r="E6" s="50"/>
      <c r="F6" s="17"/>
      <c r="G6" s="17"/>
      <c r="H6" s="10"/>
      <c r="I6" s="10"/>
      <c r="J6" s="10"/>
      <c r="K6" s="10"/>
      <c r="L6" s="10"/>
      <c r="M6" s="10"/>
    </row>
    <row r="7" spans="1:13" ht="25.5" customHeight="1">
      <c r="A7" s="300" t="s">
        <v>269</v>
      </c>
      <c r="B7" s="302" t="s">
        <v>270</v>
      </c>
      <c r="C7" s="303"/>
      <c r="D7" s="303"/>
      <c r="E7" s="303"/>
      <c r="F7" s="303"/>
      <c r="G7" s="303"/>
      <c r="H7" s="304"/>
      <c r="I7" s="304"/>
      <c r="J7" s="304"/>
      <c r="K7" s="304"/>
      <c r="L7" s="304"/>
      <c r="M7" s="304"/>
    </row>
    <row r="8" spans="1:13">
      <c r="A8" s="301"/>
      <c r="B8" s="167" t="s">
        <v>271</v>
      </c>
      <c r="C8" s="167" t="s">
        <v>272</v>
      </c>
      <c r="D8" s="167" t="s">
        <v>273</v>
      </c>
      <c r="E8" s="167" t="s">
        <v>274</v>
      </c>
      <c r="F8" s="167" t="s">
        <v>275</v>
      </c>
      <c r="G8" s="167" t="s">
        <v>276</v>
      </c>
      <c r="H8" s="164"/>
      <c r="I8" s="164"/>
      <c r="J8" s="164"/>
      <c r="K8" s="164"/>
      <c r="L8" s="164"/>
      <c r="M8" s="164"/>
    </row>
    <row r="9" spans="1:13">
      <c r="A9" s="168" t="s">
        <v>278</v>
      </c>
      <c r="B9" s="169" t="s">
        <v>277</v>
      </c>
      <c r="C9" s="170">
        <v>3.17</v>
      </c>
      <c r="D9" s="170">
        <v>3.02</v>
      </c>
      <c r="E9" s="170">
        <v>2.96</v>
      </c>
      <c r="F9" s="169" t="s">
        <v>277</v>
      </c>
      <c r="G9" s="169" t="s">
        <v>277</v>
      </c>
      <c r="H9" s="165"/>
      <c r="I9" s="165"/>
      <c r="J9" s="165"/>
      <c r="K9" s="166"/>
      <c r="L9" s="166"/>
      <c r="M9" s="166"/>
    </row>
    <row r="10" spans="1:13">
      <c r="A10" s="168" t="s">
        <v>279</v>
      </c>
      <c r="B10" s="170">
        <v>2.72</v>
      </c>
      <c r="C10" s="170">
        <v>2.63</v>
      </c>
      <c r="D10" s="170">
        <v>2.42</v>
      </c>
      <c r="E10" s="170">
        <v>2.3199999999999998</v>
      </c>
      <c r="F10" s="170">
        <v>2.29</v>
      </c>
      <c r="G10" s="170">
        <v>2.2799999999999998</v>
      </c>
      <c r="H10" s="165"/>
      <c r="I10" s="165"/>
      <c r="J10" s="165"/>
      <c r="K10" s="166"/>
      <c r="L10" s="165"/>
      <c r="M10" s="165"/>
    </row>
    <row r="11" spans="1:13">
      <c r="A11" s="168" t="s">
        <v>280</v>
      </c>
      <c r="B11" s="170">
        <v>2.2599999999999998</v>
      </c>
      <c r="C11" s="170">
        <v>2.2599999999999998</v>
      </c>
      <c r="D11" s="170">
        <v>2.2599999999999998</v>
      </c>
      <c r="E11" s="170">
        <v>2.2599999999999998</v>
      </c>
      <c r="F11" s="170">
        <v>2.2599999999999998</v>
      </c>
      <c r="G11" s="170">
        <v>2.2599999999999998</v>
      </c>
      <c r="H11" s="165"/>
      <c r="I11" s="165"/>
      <c r="J11" s="165"/>
      <c r="K11" s="165"/>
      <c r="L11" s="165"/>
      <c r="M11" s="165"/>
    </row>
    <row r="12" spans="1:13">
      <c r="A12" s="168" t="s">
        <v>281</v>
      </c>
      <c r="B12" s="170">
        <v>3.16</v>
      </c>
      <c r="C12" s="170">
        <v>3.12</v>
      </c>
      <c r="D12" s="170">
        <v>2.98</v>
      </c>
      <c r="E12" s="169" t="s">
        <v>277</v>
      </c>
      <c r="F12" s="169" t="s">
        <v>277</v>
      </c>
      <c r="G12" s="169" t="s">
        <v>277</v>
      </c>
      <c r="H12" s="165"/>
      <c r="I12" s="165"/>
      <c r="J12" s="165"/>
      <c r="K12" s="166"/>
      <c r="L12" s="166"/>
      <c r="M12" s="166"/>
    </row>
    <row r="13" spans="1:13">
      <c r="A13" s="168" t="s">
        <v>282</v>
      </c>
      <c r="B13" s="169" t="s">
        <v>277</v>
      </c>
      <c r="C13" s="170">
        <v>2.75</v>
      </c>
      <c r="D13" s="170">
        <v>2.5499999999999998</v>
      </c>
      <c r="E13" s="170">
        <v>2.52</v>
      </c>
      <c r="F13" s="170">
        <v>2.5099999999999998</v>
      </c>
      <c r="G13" s="170">
        <v>2.5</v>
      </c>
      <c r="H13" s="166"/>
      <c r="I13" s="165"/>
      <c r="J13" s="165"/>
      <c r="K13" s="165"/>
      <c r="L13" s="165"/>
      <c r="M13" s="165"/>
    </row>
    <row r="14" spans="1:13">
      <c r="A14" s="168" t="s">
        <v>283</v>
      </c>
      <c r="B14" s="170">
        <v>3.7</v>
      </c>
      <c r="C14" s="170">
        <v>3.5</v>
      </c>
      <c r="D14" s="170">
        <v>3.14</v>
      </c>
      <c r="E14" s="170">
        <v>3</v>
      </c>
      <c r="F14" s="170">
        <v>2.84</v>
      </c>
      <c r="G14" s="170">
        <v>2.73</v>
      </c>
      <c r="H14" s="165"/>
      <c r="I14" s="165"/>
      <c r="J14" s="165"/>
      <c r="K14" s="165"/>
      <c r="L14" s="165"/>
      <c r="M14" s="165"/>
    </row>
    <row r="15" spans="1:13">
      <c r="A15" s="168" t="s">
        <v>284</v>
      </c>
      <c r="B15" s="169" t="s">
        <v>277</v>
      </c>
      <c r="C15" s="170">
        <v>3.5</v>
      </c>
      <c r="D15" s="170">
        <v>3.4</v>
      </c>
      <c r="E15" s="169" t="s">
        <v>277</v>
      </c>
      <c r="F15" s="169" t="s">
        <v>277</v>
      </c>
      <c r="G15" s="169" t="s">
        <v>277</v>
      </c>
      <c r="H15" s="166"/>
      <c r="I15" s="165"/>
      <c r="J15" s="165"/>
      <c r="K15" s="166"/>
      <c r="L15" s="166"/>
      <c r="M15" s="166"/>
    </row>
    <row r="16" spans="1:13">
      <c r="A16" s="168" t="s">
        <v>285</v>
      </c>
      <c r="B16" s="170">
        <v>2.23</v>
      </c>
      <c r="C16" s="170">
        <v>2.23</v>
      </c>
      <c r="D16" s="170">
        <v>2.23</v>
      </c>
      <c r="E16" s="170">
        <v>2.23</v>
      </c>
      <c r="F16" s="170">
        <v>2.23</v>
      </c>
      <c r="G16" s="169" t="s">
        <v>277</v>
      </c>
      <c r="H16" s="165"/>
      <c r="I16" s="165"/>
      <c r="J16" s="165"/>
      <c r="K16" s="165"/>
      <c r="L16" s="165"/>
      <c r="M16" s="166"/>
    </row>
    <row r="17" spans="1:13">
      <c r="A17" s="168" t="s">
        <v>286</v>
      </c>
      <c r="B17" s="169" t="s">
        <v>277</v>
      </c>
      <c r="C17" s="170">
        <v>3.15</v>
      </c>
      <c r="D17" s="170">
        <v>2.9</v>
      </c>
      <c r="E17" s="170">
        <v>2.8</v>
      </c>
      <c r="F17" s="170">
        <v>2.74</v>
      </c>
      <c r="G17" s="169" t="s">
        <v>277</v>
      </c>
      <c r="H17" s="166"/>
      <c r="I17" s="165"/>
      <c r="J17" s="165"/>
      <c r="K17" s="165"/>
      <c r="L17" s="165"/>
      <c r="M17" s="166"/>
    </row>
    <row r="18" spans="1:13">
      <c r="A18" s="168" t="s">
        <v>287</v>
      </c>
      <c r="B18" s="170">
        <v>3.45</v>
      </c>
      <c r="C18" s="170">
        <v>3.12</v>
      </c>
      <c r="D18" s="170">
        <v>2.76</v>
      </c>
      <c r="E18" s="169" t="s">
        <v>277</v>
      </c>
      <c r="F18" s="170">
        <v>2.6</v>
      </c>
      <c r="G18" s="169" t="s">
        <v>277</v>
      </c>
      <c r="H18" s="165"/>
      <c r="I18" s="165"/>
      <c r="J18" s="165"/>
      <c r="K18" s="166"/>
      <c r="L18" s="165"/>
      <c r="M18" s="166"/>
    </row>
    <row r="19" spans="1:13">
      <c r="A19" s="168" t="s">
        <v>288</v>
      </c>
      <c r="B19" s="170">
        <v>2.5499999999999998</v>
      </c>
      <c r="C19" s="170">
        <v>2.5499999999999998</v>
      </c>
      <c r="D19" s="170">
        <v>2.5499999999999998</v>
      </c>
      <c r="E19" s="169" t="s">
        <v>277</v>
      </c>
      <c r="F19" s="170">
        <v>2.5499999999999998</v>
      </c>
      <c r="G19" s="169" t="s">
        <v>277</v>
      </c>
      <c r="H19" s="165"/>
      <c r="I19" s="165"/>
      <c r="J19" s="165"/>
      <c r="K19" s="166"/>
      <c r="L19" s="165"/>
      <c r="M19" s="166"/>
    </row>
    <row r="20" spans="1:13">
      <c r="A20" s="168" t="s">
        <v>289</v>
      </c>
      <c r="B20" s="170">
        <v>2.25</v>
      </c>
      <c r="C20" s="170">
        <v>2.25</v>
      </c>
      <c r="D20" s="170">
        <v>2.5499999999999998</v>
      </c>
      <c r="E20" s="169" t="s">
        <v>277</v>
      </c>
      <c r="F20" s="169" t="s">
        <v>277</v>
      </c>
      <c r="G20" s="169" t="s">
        <v>277</v>
      </c>
      <c r="H20" s="165"/>
      <c r="I20" s="165"/>
      <c r="J20" s="165"/>
      <c r="K20" s="166"/>
      <c r="L20" s="166"/>
      <c r="M20" s="166"/>
    </row>
    <row r="21" spans="1:13">
      <c r="A21" s="168" t="s">
        <v>290</v>
      </c>
      <c r="B21" s="170">
        <v>2.56</v>
      </c>
      <c r="C21" s="170">
        <v>2.56</v>
      </c>
      <c r="D21" s="170">
        <v>2.56</v>
      </c>
      <c r="E21" s="170">
        <v>2.5499999999999998</v>
      </c>
      <c r="F21" s="170">
        <v>2.5499999999999998</v>
      </c>
      <c r="G21" s="170">
        <v>2.54</v>
      </c>
      <c r="H21" s="165"/>
      <c r="I21" s="165"/>
      <c r="J21" s="165"/>
      <c r="K21" s="165"/>
      <c r="L21" s="165"/>
      <c r="M21" s="165"/>
    </row>
    <row r="22" spans="1:13">
      <c r="A22" s="168" t="s">
        <v>291</v>
      </c>
      <c r="B22" s="170">
        <v>2.1</v>
      </c>
      <c r="C22" s="170">
        <v>2.1</v>
      </c>
      <c r="D22" s="170">
        <v>2.1</v>
      </c>
      <c r="E22" s="170">
        <v>2.1</v>
      </c>
      <c r="F22" s="170">
        <v>2.1</v>
      </c>
      <c r="G22" s="170">
        <v>2.08</v>
      </c>
      <c r="H22" s="165"/>
      <c r="I22" s="165"/>
      <c r="J22" s="165"/>
      <c r="K22" s="165"/>
      <c r="L22" s="165"/>
      <c r="M22" s="165"/>
    </row>
    <row r="23" spans="1:13">
      <c r="A23" s="168" t="s">
        <v>292</v>
      </c>
      <c r="B23" s="169" t="s">
        <v>277</v>
      </c>
      <c r="C23" s="170">
        <v>2.25</v>
      </c>
      <c r="D23" s="170">
        <v>2.25</v>
      </c>
      <c r="E23" s="170">
        <v>2.25</v>
      </c>
      <c r="F23" s="170">
        <v>2.25</v>
      </c>
      <c r="G23" s="169" t="s">
        <v>277</v>
      </c>
      <c r="H23" s="166"/>
      <c r="I23" s="165"/>
      <c r="J23" s="165"/>
      <c r="K23" s="165"/>
      <c r="L23" s="165"/>
      <c r="M23" s="166"/>
    </row>
    <row r="24" spans="1:13">
      <c r="A24" s="168" t="s">
        <v>293</v>
      </c>
      <c r="B24" s="170">
        <v>3.2</v>
      </c>
      <c r="C24" s="170">
        <v>3.12</v>
      </c>
      <c r="D24" s="170">
        <v>2.92</v>
      </c>
      <c r="E24" s="170">
        <v>2.8</v>
      </c>
      <c r="F24" s="170">
        <v>2.76</v>
      </c>
      <c r="G24" s="170">
        <v>2.7</v>
      </c>
      <c r="H24" s="165"/>
      <c r="I24" s="165"/>
      <c r="J24" s="165"/>
      <c r="K24" s="165"/>
      <c r="L24" s="165"/>
      <c r="M24" s="165"/>
    </row>
    <row r="25" spans="1:13">
      <c r="A25" s="168" t="s">
        <v>294</v>
      </c>
      <c r="B25" s="170">
        <v>8.4</v>
      </c>
      <c r="C25" s="170">
        <v>8</v>
      </c>
      <c r="D25" s="170">
        <v>6.6</v>
      </c>
      <c r="E25" s="169" t="s">
        <v>277</v>
      </c>
      <c r="F25" s="169" t="s">
        <v>277</v>
      </c>
      <c r="G25" s="169" t="s">
        <v>277</v>
      </c>
      <c r="H25" s="165"/>
      <c r="I25" s="165"/>
      <c r="J25" s="165"/>
      <c r="K25" s="166"/>
      <c r="L25" s="166"/>
      <c r="M25" s="166"/>
    </row>
    <row r="26" spans="1:13">
      <c r="A26" s="168" t="s">
        <v>295</v>
      </c>
      <c r="B26" s="170">
        <v>6.6</v>
      </c>
      <c r="C26" s="170">
        <v>6.2</v>
      </c>
      <c r="D26" s="170">
        <v>5.65</v>
      </c>
      <c r="E26" s="170">
        <v>5.0999999999999996</v>
      </c>
      <c r="F26" s="170">
        <v>4.57</v>
      </c>
      <c r="G26" s="169" t="s">
        <v>277</v>
      </c>
      <c r="H26" s="165"/>
      <c r="I26" s="165"/>
      <c r="J26" s="165"/>
      <c r="K26" s="165"/>
      <c r="L26" s="165"/>
      <c r="M26" s="166"/>
    </row>
    <row r="27" spans="1:13">
      <c r="A27" s="168" t="s">
        <v>296</v>
      </c>
      <c r="B27" s="170" t="s">
        <v>297</v>
      </c>
      <c r="C27" s="170" t="s">
        <v>297</v>
      </c>
      <c r="D27" s="170" t="s">
        <v>298</v>
      </c>
      <c r="E27" s="169" t="s">
        <v>277</v>
      </c>
      <c r="F27" s="169" t="s">
        <v>277</v>
      </c>
      <c r="G27" s="169" t="s">
        <v>277</v>
      </c>
      <c r="H27" s="165"/>
      <c r="I27" s="165"/>
      <c r="J27" s="166"/>
      <c r="K27" s="166"/>
      <c r="L27" s="166"/>
      <c r="M27" s="166"/>
    </row>
    <row r="28" spans="1:13">
      <c r="A28" s="168" t="s">
        <v>299</v>
      </c>
      <c r="B28" s="170">
        <v>5</v>
      </c>
      <c r="C28" s="170">
        <v>4.6500000000000004</v>
      </c>
      <c r="D28" s="170">
        <v>3.18</v>
      </c>
      <c r="E28" s="170">
        <v>2.82</v>
      </c>
      <c r="F28" s="170">
        <v>2.71</v>
      </c>
      <c r="G28" s="169" t="s">
        <v>277</v>
      </c>
      <c r="H28" s="165"/>
      <c r="I28" s="165"/>
      <c r="J28" s="165"/>
      <c r="K28" s="165"/>
      <c r="L28" s="165"/>
      <c r="M28" s="166"/>
    </row>
    <row r="29" spans="1:13">
      <c r="A29" s="168" t="s">
        <v>300</v>
      </c>
      <c r="B29" s="170">
        <v>3.7</v>
      </c>
      <c r="C29" s="170">
        <v>3.68</v>
      </c>
      <c r="D29" s="170">
        <v>3.58</v>
      </c>
      <c r="E29" s="170">
        <v>3.5</v>
      </c>
      <c r="F29" s="170">
        <v>3.44</v>
      </c>
      <c r="G29" s="169" t="s">
        <v>277</v>
      </c>
      <c r="H29" s="165"/>
      <c r="I29" s="165"/>
      <c r="J29" s="165"/>
      <c r="K29" s="165"/>
      <c r="L29" s="165"/>
      <c r="M29" s="166"/>
    </row>
    <row r="30" spans="1:13">
      <c r="A30" s="168" t="s">
        <v>301</v>
      </c>
      <c r="B30" s="170">
        <v>8.6</v>
      </c>
      <c r="C30" s="170">
        <v>7.15</v>
      </c>
      <c r="D30" s="170">
        <v>5.4</v>
      </c>
      <c r="E30" s="170">
        <v>4.4000000000000004</v>
      </c>
      <c r="F30" s="170">
        <v>3.64</v>
      </c>
      <c r="G30" s="169" t="s">
        <v>277</v>
      </c>
      <c r="H30" s="165"/>
      <c r="I30" s="165"/>
      <c r="J30" s="165"/>
      <c r="K30" s="165"/>
      <c r="L30" s="165"/>
      <c r="M30" s="166"/>
    </row>
    <row r="31" spans="1:13">
      <c r="A31" s="171" t="s">
        <v>302</v>
      </c>
      <c r="B31" s="172">
        <v>3.2</v>
      </c>
      <c r="C31" s="172">
        <v>3.1</v>
      </c>
      <c r="D31" s="172">
        <v>2.88</v>
      </c>
      <c r="E31" s="172">
        <v>2.85</v>
      </c>
      <c r="F31" s="172">
        <v>2.84</v>
      </c>
      <c r="G31" s="173" t="s">
        <v>277</v>
      </c>
      <c r="H31" s="165"/>
      <c r="I31" s="165"/>
      <c r="J31" s="165"/>
      <c r="K31" s="165"/>
      <c r="L31" s="165"/>
      <c r="M31" s="166"/>
    </row>
    <row r="33" spans="1:13" ht="15.75">
      <c r="A33" s="46" t="s">
        <v>210</v>
      </c>
      <c r="B33" s="46"/>
      <c r="C33" s="119"/>
      <c r="D33" s="46"/>
      <c r="E33" s="120"/>
      <c r="F33" s="1"/>
      <c r="G33" s="20"/>
      <c r="H33" s="2"/>
      <c r="I33" s="1"/>
      <c r="J33" s="2"/>
      <c r="K33" s="2"/>
      <c r="L33" s="10"/>
      <c r="M33" s="10"/>
    </row>
    <row r="34" spans="1:13">
      <c r="A34" s="295" t="s">
        <v>310</v>
      </c>
      <c r="B34" s="295"/>
      <c r="C34" s="295"/>
      <c r="D34" s="295"/>
      <c r="E34" s="295"/>
      <c r="F34" s="295"/>
      <c r="G34" s="295"/>
      <c r="H34" s="179"/>
      <c r="I34" s="179"/>
      <c r="J34" s="179"/>
      <c r="K34" s="179"/>
      <c r="L34" s="124"/>
      <c r="M34" s="124"/>
    </row>
    <row r="35" spans="1:13" ht="15.75">
      <c r="A35" s="10"/>
      <c r="B35" s="10"/>
      <c r="C35" s="10"/>
      <c r="D35" s="10"/>
      <c r="E35" s="10"/>
      <c r="F35" s="1"/>
      <c r="G35" s="10"/>
      <c r="H35" s="10"/>
      <c r="I35" s="10"/>
      <c r="J35" s="10"/>
      <c r="K35" s="10"/>
      <c r="L35" s="10"/>
      <c r="M35" s="10"/>
    </row>
    <row r="36" spans="1:13" ht="21" customHeight="1">
      <c r="A36" s="288" t="s">
        <v>37</v>
      </c>
      <c r="B36" s="288"/>
      <c r="C36" s="288"/>
      <c r="D36" s="288"/>
      <c r="E36" s="288"/>
      <c r="F36" s="288"/>
      <c r="G36" s="288"/>
      <c r="H36" s="85"/>
      <c r="I36" s="85"/>
      <c r="J36" s="85"/>
      <c r="K36" s="85"/>
      <c r="L36" s="85"/>
      <c r="M36" s="85"/>
    </row>
  </sheetData>
  <sheetProtection sheet="1" objects="1" scenarios="1"/>
  <mergeCells count="5">
    <mergeCell ref="A36:G36"/>
    <mergeCell ref="A34:G34"/>
    <mergeCell ref="A7:A8"/>
    <mergeCell ref="B7:G7"/>
    <mergeCell ref="H7: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F541-83D1-42FF-ACF0-A6C922CB46E4}">
  <sheetPr>
    <pageSetUpPr fitToPage="1"/>
  </sheetPr>
  <dimension ref="A1:Z153"/>
  <sheetViews>
    <sheetView zoomScaleNormal="100" workbookViewId="0">
      <selection activeCell="D26" sqref="D26"/>
    </sheetView>
  </sheetViews>
  <sheetFormatPr defaultColWidth="11.42578125" defaultRowHeight="13.5"/>
  <cols>
    <col min="1" max="5" width="10.7109375" style="10" customWidth="1"/>
    <col min="6" max="6" width="10.7109375" style="1" customWidth="1"/>
    <col min="7" max="13" width="10.7109375" style="10" customWidth="1"/>
    <col min="14" max="16384" width="11.42578125" style="10"/>
  </cols>
  <sheetData>
    <row r="1" spans="1:14">
      <c r="A1" s="39" t="s">
        <v>209</v>
      </c>
      <c r="B1" s="1"/>
      <c r="C1" s="1"/>
      <c r="D1" s="1"/>
      <c r="E1" s="1"/>
      <c r="G1" s="1"/>
      <c r="H1" s="1"/>
    </row>
    <row r="2" spans="1:14">
      <c r="A2" s="1"/>
      <c r="B2" s="1"/>
      <c r="C2" s="1"/>
      <c r="D2" s="1"/>
      <c r="E2" s="1"/>
      <c r="G2" s="1"/>
      <c r="H2" s="1"/>
    </row>
    <row r="3" spans="1:14">
      <c r="A3" s="1" t="s">
        <v>1</v>
      </c>
      <c r="B3" s="43" t="s">
        <v>2</v>
      </c>
      <c r="C3" s="1"/>
      <c r="D3" s="1"/>
      <c r="E3" s="1"/>
      <c r="F3" s="10"/>
    </row>
    <row r="4" spans="1:14">
      <c r="A4" s="1" t="s">
        <v>3</v>
      </c>
      <c r="B4" s="1" t="s">
        <v>4</v>
      </c>
      <c r="C4" s="1"/>
      <c r="D4" s="1"/>
      <c r="E4" s="1"/>
      <c r="F4" s="10"/>
    </row>
    <row r="5" spans="1:14">
      <c r="A5" s="1" t="s">
        <v>5</v>
      </c>
      <c r="B5" s="1" t="s">
        <v>228</v>
      </c>
      <c r="C5" s="1"/>
      <c r="D5" s="1"/>
      <c r="E5" s="1"/>
      <c r="F5" s="10"/>
    </row>
    <row r="6" spans="1:14">
      <c r="A6" s="1"/>
      <c r="B6" s="1"/>
      <c r="C6" s="1"/>
      <c r="D6" s="1"/>
      <c r="E6" s="1"/>
      <c r="F6" s="10"/>
    </row>
    <row r="7" spans="1:14" s="1" customFormat="1">
      <c r="A7" s="1" t="s">
        <v>229</v>
      </c>
      <c r="K7" s="2"/>
      <c r="L7" s="2"/>
      <c r="M7" s="2"/>
      <c r="N7" s="2"/>
    </row>
    <row r="8" spans="1:14">
      <c r="A8" s="1" t="s">
        <v>230</v>
      </c>
      <c r="L8" s="2"/>
      <c r="M8" s="2"/>
      <c r="N8" s="2"/>
    </row>
    <row r="9" spans="1:14">
      <c r="A9" s="1" t="s">
        <v>232</v>
      </c>
      <c r="L9" s="2"/>
      <c r="M9" s="2"/>
      <c r="N9" s="2"/>
    </row>
    <row r="10" spans="1:14">
      <c r="A10" s="1"/>
      <c r="L10" s="2"/>
      <c r="M10" s="2"/>
      <c r="N10" s="2"/>
    </row>
    <row r="11" spans="1:14">
      <c r="A11" s="17"/>
      <c r="B11" s="17"/>
      <c r="C11" s="17"/>
      <c r="D11" s="17"/>
      <c r="E11" s="17"/>
      <c r="F11" s="50"/>
      <c r="G11" s="17"/>
      <c r="H11" s="17"/>
      <c r="I11" s="17"/>
      <c r="J11" s="17"/>
      <c r="K11" s="51"/>
      <c r="L11" s="51"/>
      <c r="M11" s="51"/>
      <c r="N11" s="2"/>
    </row>
    <row r="12" spans="1:14" ht="21">
      <c r="A12" s="306" t="s">
        <v>231</v>
      </c>
      <c r="B12" s="306"/>
      <c r="C12" s="306"/>
      <c r="D12" s="306"/>
      <c r="E12" s="306"/>
      <c r="F12" s="306"/>
      <c r="G12" s="306"/>
      <c r="H12" s="306"/>
      <c r="I12" s="306"/>
      <c r="J12" s="306"/>
      <c r="K12" s="306"/>
      <c r="L12" s="306"/>
      <c r="M12" s="306"/>
    </row>
    <row r="15" spans="1:14" ht="12">
      <c r="F15" s="10"/>
    </row>
    <row r="23" spans="1:15">
      <c r="A23" s="17"/>
      <c r="B23" s="17"/>
      <c r="C23" s="17"/>
      <c r="D23" s="17"/>
      <c r="E23" s="17"/>
      <c r="F23" s="50"/>
      <c r="G23" s="17"/>
      <c r="H23" s="17"/>
      <c r="I23" s="17"/>
      <c r="J23" s="17"/>
      <c r="K23" s="17"/>
      <c r="L23" s="17"/>
      <c r="M23" s="17"/>
    </row>
    <row r="24" spans="1:15" s="1" customFormat="1">
      <c r="A24" s="125" t="s">
        <v>30</v>
      </c>
      <c r="B24" s="125"/>
      <c r="C24" s="56" t="s">
        <v>31</v>
      </c>
      <c r="D24" s="56" t="s">
        <v>11</v>
      </c>
      <c r="E24" s="57" t="s">
        <v>32</v>
      </c>
      <c r="F24" s="51"/>
      <c r="G24" s="51"/>
      <c r="H24" s="50"/>
      <c r="I24" s="17"/>
      <c r="J24" s="17"/>
      <c r="K24" s="17"/>
      <c r="L24" s="17"/>
      <c r="M24" s="17"/>
      <c r="N24" s="10"/>
    </row>
    <row r="25" spans="1:15" s="1" customFormat="1">
      <c r="A25" s="16" t="s">
        <v>100</v>
      </c>
      <c r="C25" s="175" t="s">
        <v>314</v>
      </c>
      <c r="D25" s="138" t="s">
        <v>102</v>
      </c>
      <c r="E25" s="38" t="s">
        <v>242</v>
      </c>
    </row>
    <row r="26" spans="1:15" s="39" customFormat="1">
      <c r="A26" s="46" t="s">
        <v>237</v>
      </c>
      <c r="B26" s="1"/>
      <c r="C26" s="176" t="s">
        <v>315</v>
      </c>
      <c r="D26" s="139" t="s">
        <v>235</v>
      </c>
      <c r="E26" s="16" t="s">
        <v>249</v>
      </c>
      <c r="F26" s="1"/>
      <c r="G26" s="1"/>
      <c r="H26" s="1"/>
      <c r="I26" s="1"/>
      <c r="J26" s="1"/>
      <c r="K26" s="1"/>
      <c r="L26" s="1"/>
      <c r="M26" s="1"/>
      <c r="N26" s="1"/>
    </row>
    <row r="27" spans="1:15">
      <c r="A27" s="81" t="s">
        <v>238</v>
      </c>
      <c r="B27" s="50"/>
      <c r="C27" s="177" t="s">
        <v>265</v>
      </c>
      <c r="D27" s="140" t="s">
        <v>235</v>
      </c>
      <c r="E27" s="126" t="s">
        <v>250</v>
      </c>
      <c r="F27" s="50"/>
      <c r="G27" s="50"/>
      <c r="H27" s="50"/>
      <c r="I27" s="50"/>
      <c r="J27" s="50"/>
      <c r="K27" s="50"/>
      <c r="L27" s="50"/>
      <c r="M27" s="50"/>
      <c r="N27" s="39"/>
    </row>
    <row r="28" spans="1:15">
      <c r="A28" s="125" t="s">
        <v>239</v>
      </c>
      <c r="B28" s="125"/>
      <c r="C28" s="56" t="s">
        <v>31</v>
      </c>
      <c r="D28" s="56" t="s">
        <v>11</v>
      </c>
      <c r="E28" s="57" t="s">
        <v>32</v>
      </c>
      <c r="F28" s="51"/>
      <c r="G28" s="51"/>
      <c r="H28" s="50"/>
      <c r="I28" s="17"/>
      <c r="J28" s="17"/>
      <c r="K28" s="17"/>
      <c r="L28" s="17"/>
      <c r="M28" s="17"/>
    </row>
    <row r="29" spans="1:15" ht="12" customHeight="1">
      <c r="A29" s="46" t="s">
        <v>240</v>
      </c>
      <c r="B29" s="116"/>
      <c r="C29" s="134">
        <f>IF((C26/C27)&lt;1,(C25+1)/2+(C25-1)/2*(1/SQRT(1+12*C27/C26)+0.04*(1-C26/C27)^2),(C25+1)/2+(C25-1)/(2*SQRT(1+12*C27/C26)))</f>
        <v>3.1430813079129867</v>
      </c>
      <c r="D29" s="130" t="s">
        <v>102</v>
      </c>
      <c r="E29" s="132" t="s">
        <v>252</v>
      </c>
      <c r="F29" s="133"/>
      <c r="G29" s="133"/>
      <c r="H29" s="131"/>
      <c r="I29" s="131"/>
      <c r="J29" s="131"/>
      <c r="K29" s="131"/>
      <c r="L29" s="131"/>
      <c r="M29" s="131"/>
      <c r="O29" s="1"/>
    </row>
    <row r="30" spans="1:15" ht="12" customHeight="1">
      <c r="A30" s="46"/>
      <c r="B30" s="116"/>
      <c r="C30" s="159"/>
      <c r="D30" s="133"/>
      <c r="E30" s="133"/>
      <c r="F30" s="133"/>
      <c r="G30" s="133"/>
      <c r="H30" s="131"/>
      <c r="I30" s="131"/>
      <c r="J30" s="131"/>
      <c r="K30" s="131"/>
      <c r="L30" s="131"/>
      <c r="M30" s="131"/>
      <c r="O30" s="1"/>
    </row>
    <row r="31" spans="1:15">
      <c r="A31" s="160"/>
      <c r="B31" s="161"/>
      <c r="C31" s="161"/>
      <c r="D31" s="161"/>
      <c r="E31" s="161"/>
      <c r="F31" s="161"/>
      <c r="G31" s="161"/>
      <c r="H31" s="162"/>
      <c r="I31" s="162"/>
      <c r="J31" s="162"/>
      <c r="K31" s="50"/>
      <c r="L31" s="50"/>
      <c r="M31" s="50"/>
      <c r="N31" s="1"/>
      <c r="O31" s="1"/>
    </row>
    <row r="32" spans="1:15" ht="21">
      <c r="A32" s="306" t="s">
        <v>245</v>
      </c>
      <c r="B32" s="306"/>
      <c r="C32" s="306"/>
      <c r="D32" s="306"/>
      <c r="E32" s="306"/>
      <c r="F32" s="306"/>
      <c r="G32" s="306"/>
      <c r="H32" s="306"/>
      <c r="I32" s="306"/>
      <c r="J32" s="306"/>
      <c r="K32" s="306"/>
      <c r="L32" s="306"/>
      <c r="M32" s="306"/>
      <c r="N32" s="1"/>
      <c r="O32" s="1"/>
    </row>
    <row r="33" spans="1:26">
      <c r="N33" s="1"/>
      <c r="O33" s="1"/>
    </row>
    <row r="34" spans="1:26">
      <c r="N34" s="1"/>
      <c r="O34" s="1"/>
    </row>
    <row r="35" spans="1:26">
      <c r="A35" s="127"/>
      <c r="B35" s="1"/>
      <c r="C35" s="128"/>
      <c r="D35" s="128"/>
      <c r="E35" s="129"/>
      <c r="F35" s="129"/>
      <c r="G35" s="129"/>
      <c r="H35" s="39"/>
      <c r="I35" s="39"/>
      <c r="J35" s="39"/>
      <c r="K35" s="1"/>
      <c r="L35" s="39"/>
      <c r="M35" s="1"/>
      <c r="N35" s="1"/>
      <c r="O35" s="1"/>
    </row>
    <row r="36" spans="1:26">
      <c r="A36" s="1"/>
      <c r="B36" s="1"/>
      <c r="C36" s="180"/>
      <c r="D36" s="46"/>
      <c r="E36" s="2"/>
      <c r="F36" s="20"/>
      <c r="G36" s="117"/>
      <c r="H36" s="46"/>
      <c r="I36" s="1"/>
      <c r="J36" s="1"/>
      <c r="K36" s="1"/>
      <c r="L36" s="1"/>
      <c r="M36" s="1"/>
      <c r="N36" s="1"/>
      <c r="O36" s="1"/>
    </row>
    <row r="37" spans="1:26">
      <c r="A37" s="1"/>
      <c r="B37" s="1"/>
      <c r="C37" s="1"/>
      <c r="D37" s="1"/>
      <c r="E37" s="1"/>
      <c r="G37" s="1"/>
      <c r="H37" s="1"/>
      <c r="I37" s="1"/>
      <c r="J37" s="1"/>
      <c r="K37" s="1"/>
      <c r="L37" s="1"/>
      <c r="M37" s="1"/>
      <c r="N37" s="1"/>
      <c r="O37" s="1"/>
    </row>
    <row r="39" spans="1:26" ht="15.75" customHeight="1"/>
    <row r="40" spans="1:26">
      <c r="A40" s="44" t="s">
        <v>30</v>
      </c>
      <c r="B40" s="44"/>
      <c r="C40" s="53" t="s">
        <v>31</v>
      </c>
      <c r="D40" s="53" t="s">
        <v>11</v>
      </c>
      <c r="E40" s="45" t="s">
        <v>32</v>
      </c>
      <c r="F40" s="48"/>
      <c r="G40" s="48"/>
      <c r="H40" s="41"/>
      <c r="I40" s="40"/>
      <c r="J40" s="40"/>
      <c r="K40" s="40"/>
      <c r="L40" s="40"/>
      <c r="M40" s="40"/>
      <c r="X40" s="1"/>
      <c r="Y40" s="142"/>
      <c r="Z40" s="46"/>
    </row>
    <row r="41" spans="1:26">
      <c r="A41" s="16" t="s">
        <v>100</v>
      </c>
      <c r="B41" s="1"/>
      <c r="C41" s="176" t="s">
        <v>314</v>
      </c>
      <c r="D41" s="55" t="s">
        <v>102</v>
      </c>
      <c r="E41" s="16" t="s">
        <v>242</v>
      </c>
      <c r="G41" s="1"/>
      <c r="H41" s="1"/>
      <c r="I41" s="1"/>
      <c r="J41" s="1"/>
      <c r="X41" s="1"/>
      <c r="Y41" s="142"/>
      <c r="Z41" s="46"/>
    </row>
    <row r="42" spans="1:26">
      <c r="A42" s="46" t="s">
        <v>237</v>
      </c>
      <c r="B42" s="1"/>
      <c r="C42" s="176" t="s">
        <v>315</v>
      </c>
      <c r="D42" s="55" t="s">
        <v>235</v>
      </c>
      <c r="E42" s="16" t="s">
        <v>248</v>
      </c>
      <c r="G42" s="1"/>
      <c r="H42" s="1"/>
      <c r="I42" s="1"/>
      <c r="J42" s="1"/>
      <c r="X42" s="1"/>
      <c r="Y42" s="142"/>
      <c r="Z42" s="46"/>
    </row>
    <row r="43" spans="1:26" s="1" customFormat="1">
      <c r="A43" s="1" t="s">
        <v>246</v>
      </c>
      <c r="C43" s="176" t="s">
        <v>265</v>
      </c>
      <c r="D43" s="55" t="s">
        <v>235</v>
      </c>
      <c r="E43" s="16" t="s">
        <v>247</v>
      </c>
      <c r="Y43" s="142"/>
      <c r="Z43" s="46"/>
    </row>
    <row r="44" spans="1:26">
      <c r="A44" s="81" t="s">
        <v>238</v>
      </c>
      <c r="B44" s="50"/>
      <c r="C44" s="177" t="s">
        <v>265</v>
      </c>
      <c r="D44" s="126" t="s">
        <v>235</v>
      </c>
      <c r="E44" s="126" t="s">
        <v>236</v>
      </c>
      <c r="F44" s="50"/>
      <c r="G44" s="50"/>
      <c r="H44" s="50"/>
      <c r="I44" s="50"/>
      <c r="J44" s="50"/>
      <c r="K44" s="17"/>
      <c r="L44" s="17"/>
      <c r="M44" s="17"/>
      <c r="X44" s="1"/>
      <c r="Y44" s="142"/>
      <c r="Z44" s="46"/>
    </row>
    <row r="45" spans="1:26" hidden="1">
      <c r="A45" s="125" t="s">
        <v>264</v>
      </c>
      <c r="B45" s="125"/>
      <c r="C45" s="56" t="s">
        <v>31</v>
      </c>
      <c r="D45" s="56" t="s">
        <v>11</v>
      </c>
      <c r="E45" s="75" t="s">
        <v>259</v>
      </c>
      <c r="F45" s="162" t="s">
        <v>260</v>
      </c>
      <c r="G45" s="162" t="s">
        <v>261</v>
      </c>
      <c r="H45" s="163" t="s">
        <v>262</v>
      </c>
      <c r="I45" s="163" t="s">
        <v>263</v>
      </c>
      <c r="J45" s="163"/>
      <c r="K45" s="115"/>
      <c r="L45" s="115"/>
      <c r="M45" s="115"/>
      <c r="X45" s="1"/>
      <c r="Y45" s="142"/>
      <c r="Z45" s="46"/>
    </row>
    <row r="46" spans="1:26" hidden="1">
      <c r="A46" s="1"/>
      <c r="B46" s="142" t="s">
        <v>255</v>
      </c>
      <c r="C46" s="123">
        <f>C42/(2*C43+C42)</f>
        <v>0.23076923076923075</v>
      </c>
      <c r="D46" s="55" t="s">
        <v>102</v>
      </c>
      <c r="E46" s="1">
        <v>0</v>
      </c>
      <c r="F46" s="1">
        <v>1</v>
      </c>
      <c r="G46" s="1">
        <f>SQRT(1-C46*C46)</f>
        <v>0.97300851082103978</v>
      </c>
      <c r="H46" s="117">
        <f>C46</f>
        <v>0.23076923076923075</v>
      </c>
      <c r="I46" s="1">
        <f t="shared" ref="I46:I71" si="0">PI()/(2*F46)</f>
        <v>1.5707963267948966</v>
      </c>
      <c r="J46" s="1"/>
      <c r="X46" s="1"/>
      <c r="Y46" s="142"/>
      <c r="Z46" s="46"/>
    </row>
    <row r="47" spans="1:26" hidden="1">
      <c r="E47" s="1">
        <v>1</v>
      </c>
      <c r="F47" s="1">
        <f t="shared" ref="F47:F53" si="1">(F46+G46)/2</f>
        <v>0.98650425541051989</v>
      </c>
      <c r="G47" s="1">
        <f t="shared" ref="G47:G53" si="2">SQRT(F46*G46)</f>
        <v>0.98641193769187518</v>
      </c>
      <c r="H47" s="1">
        <f t="shared" ref="H47:H53" si="3">(F46-G46)/2</f>
        <v>1.3495744589480108E-2</v>
      </c>
      <c r="I47" s="1">
        <f t="shared" si="0"/>
        <v>1.5922854039197547</v>
      </c>
      <c r="J47" s="1"/>
      <c r="X47" s="1"/>
      <c r="Y47" s="142"/>
      <c r="Z47" s="46"/>
    </row>
    <row r="48" spans="1:26" hidden="1">
      <c r="E48" s="1">
        <v>2</v>
      </c>
      <c r="F48" s="1">
        <f t="shared" si="1"/>
        <v>0.98645809655119754</v>
      </c>
      <c r="G48" s="1">
        <f t="shared" si="2"/>
        <v>0.98645809547125296</v>
      </c>
      <c r="H48" s="1">
        <f t="shared" si="3"/>
        <v>4.6158859322353862E-5</v>
      </c>
      <c r="I48" s="1">
        <f t="shared" si="0"/>
        <v>1.5923599109649273</v>
      </c>
      <c r="J48" s="1"/>
      <c r="X48" s="1"/>
      <c r="Y48" s="142"/>
      <c r="Z48" s="46"/>
    </row>
    <row r="49" spans="1:26" hidden="1">
      <c r="E49" s="1">
        <v>3</v>
      </c>
      <c r="F49" s="1">
        <f t="shared" si="1"/>
        <v>0.98645809601122525</v>
      </c>
      <c r="G49" s="1">
        <f t="shared" si="2"/>
        <v>0.98645809601122525</v>
      </c>
      <c r="H49" s="1">
        <f t="shared" si="3"/>
        <v>5.3997228910418471E-10</v>
      </c>
      <c r="I49" s="1">
        <f t="shared" si="0"/>
        <v>1.592359911836561</v>
      </c>
      <c r="J49" s="1"/>
      <c r="X49" s="1"/>
      <c r="Y49" s="142"/>
      <c r="Z49" s="46"/>
    </row>
    <row r="50" spans="1:26" hidden="1">
      <c r="A50" s="46"/>
      <c r="B50" s="1"/>
      <c r="C50" s="144"/>
      <c r="D50" s="1"/>
      <c r="E50" s="1">
        <v>4</v>
      </c>
      <c r="F50" s="1">
        <f t="shared" si="1"/>
        <v>0.98645809601122525</v>
      </c>
      <c r="G50" s="1">
        <f t="shared" si="2"/>
        <v>0.98645809601122525</v>
      </c>
      <c r="H50" s="1">
        <f t="shared" si="3"/>
        <v>0</v>
      </c>
      <c r="I50" s="1">
        <f t="shared" si="0"/>
        <v>1.592359911836561</v>
      </c>
      <c r="J50" s="1"/>
      <c r="X50" s="1"/>
      <c r="Y50" s="142"/>
      <c r="Z50" s="46"/>
    </row>
    <row r="51" spans="1:26" hidden="1">
      <c r="A51" s="1"/>
      <c r="B51" s="1"/>
      <c r="E51" s="10">
        <v>5</v>
      </c>
      <c r="F51" s="1">
        <f t="shared" si="1"/>
        <v>0.98645809601122525</v>
      </c>
      <c r="G51" s="1">
        <f t="shared" si="2"/>
        <v>0.98645809601122525</v>
      </c>
      <c r="H51" s="1">
        <f t="shared" si="3"/>
        <v>0</v>
      </c>
      <c r="I51" s="1">
        <f t="shared" si="0"/>
        <v>1.592359911836561</v>
      </c>
      <c r="X51" s="1"/>
      <c r="Y51" s="142"/>
      <c r="Z51" s="46"/>
    </row>
    <row r="52" spans="1:26" hidden="1">
      <c r="E52" s="1">
        <v>6</v>
      </c>
      <c r="F52" s="1">
        <f t="shared" si="1"/>
        <v>0.98645809601122525</v>
      </c>
      <c r="G52" s="1">
        <f t="shared" si="2"/>
        <v>0.98645809601122525</v>
      </c>
      <c r="H52" s="1">
        <f t="shared" si="3"/>
        <v>0</v>
      </c>
      <c r="I52" s="1">
        <f t="shared" si="0"/>
        <v>1.592359911836561</v>
      </c>
      <c r="X52" s="1"/>
      <c r="Y52" s="142"/>
      <c r="Z52" s="46"/>
    </row>
    <row r="53" spans="1:26" hidden="1">
      <c r="E53" s="1">
        <v>7</v>
      </c>
      <c r="F53" s="1">
        <f t="shared" si="1"/>
        <v>0.98645809601122525</v>
      </c>
      <c r="G53" s="1">
        <f t="shared" si="2"/>
        <v>0.98645809601122525</v>
      </c>
      <c r="H53" s="1">
        <f t="shared" si="3"/>
        <v>0</v>
      </c>
      <c r="I53" s="39">
        <f t="shared" si="0"/>
        <v>1.592359911836561</v>
      </c>
      <c r="X53" s="1"/>
      <c r="Y53" s="142"/>
      <c r="Z53" s="46"/>
    </row>
    <row r="54" spans="1:26" hidden="1">
      <c r="A54" s="1"/>
      <c r="B54" s="142" t="s">
        <v>256</v>
      </c>
      <c r="C54" s="46">
        <f>SQRT(1-(C46)^2)</f>
        <v>0.97300851082103978</v>
      </c>
      <c r="D54" s="55" t="s">
        <v>102</v>
      </c>
      <c r="E54" s="1">
        <v>0</v>
      </c>
      <c r="F54" s="1">
        <v>1</v>
      </c>
      <c r="G54" s="1">
        <f>SQRT(1-C54*C54)</f>
        <v>0.23076923076923087</v>
      </c>
      <c r="H54" s="117">
        <f>C54</f>
        <v>0.97300851082103978</v>
      </c>
      <c r="I54" s="1">
        <f t="shared" si="0"/>
        <v>1.5707963267948966</v>
      </c>
      <c r="X54" s="1"/>
      <c r="Y54" s="142"/>
      <c r="Z54" s="46"/>
    </row>
    <row r="55" spans="1:26" hidden="1">
      <c r="E55" s="1">
        <v>1</v>
      </c>
      <c r="F55" s="1">
        <f t="shared" ref="F55:F61" si="4">(F54+G54)/2</f>
        <v>0.61538461538461542</v>
      </c>
      <c r="G55" s="1">
        <f t="shared" ref="G55:G61" si="5">SQRT(F54*G54)</f>
        <v>0.48038446141526148</v>
      </c>
      <c r="H55" s="1">
        <f t="shared" ref="H55:H61" si="6">(F54-G54)/2</f>
        <v>0.38461538461538458</v>
      </c>
      <c r="I55" s="1">
        <f t="shared" si="0"/>
        <v>2.5525440310417067</v>
      </c>
      <c r="X55" s="1"/>
      <c r="Y55" s="142"/>
      <c r="Z55" s="46"/>
    </row>
    <row r="56" spans="1:26" hidden="1">
      <c r="E56" s="1">
        <v>2</v>
      </c>
      <c r="F56" s="1">
        <f t="shared" si="4"/>
        <v>0.54788453839993845</v>
      </c>
      <c r="G56" s="1">
        <f t="shared" si="5"/>
        <v>0.54371059123836851</v>
      </c>
      <c r="H56" s="1">
        <f t="shared" si="6"/>
        <v>6.7500076984676971E-2</v>
      </c>
      <c r="I56" s="1">
        <f t="shared" si="0"/>
        <v>2.8670207255388265</v>
      </c>
      <c r="X56" s="1"/>
      <c r="Y56" s="142"/>
      <c r="Z56" s="46"/>
    </row>
    <row r="57" spans="1:26" hidden="1">
      <c r="E57" s="1">
        <v>3</v>
      </c>
      <c r="F57" s="1">
        <f t="shared" si="4"/>
        <v>0.54579756481915354</v>
      </c>
      <c r="G57" s="1">
        <f t="shared" si="5"/>
        <v>0.54579357480991941</v>
      </c>
      <c r="H57" s="1">
        <f t="shared" si="6"/>
        <v>2.0869735807849676E-3</v>
      </c>
      <c r="I57" s="1">
        <f t="shared" si="0"/>
        <v>2.8779833917276081</v>
      </c>
      <c r="X57" s="1"/>
      <c r="Y57" s="142"/>
      <c r="Z57" s="46"/>
    </row>
    <row r="58" spans="1:26" hidden="1">
      <c r="E58" s="1">
        <v>4</v>
      </c>
      <c r="F58" s="1">
        <f t="shared" si="4"/>
        <v>0.54579556981453647</v>
      </c>
      <c r="G58" s="1">
        <f t="shared" si="5"/>
        <v>0.54579556981089039</v>
      </c>
      <c r="H58" s="1">
        <f t="shared" si="6"/>
        <v>1.9950046170613689E-6</v>
      </c>
      <c r="I58" s="1">
        <f t="shared" si="0"/>
        <v>2.8779939113992068</v>
      </c>
      <c r="X58" s="1"/>
      <c r="Y58" s="142"/>
      <c r="Z58" s="46"/>
    </row>
    <row r="59" spans="1:26" hidden="1">
      <c r="E59" s="10">
        <v>5</v>
      </c>
      <c r="F59" s="1">
        <f t="shared" si="4"/>
        <v>0.54579556981271349</v>
      </c>
      <c r="G59" s="1">
        <f t="shared" si="5"/>
        <v>0.54579556981271349</v>
      </c>
      <c r="H59" s="1">
        <f t="shared" si="6"/>
        <v>1.8230417175857383E-12</v>
      </c>
      <c r="I59" s="1">
        <f t="shared" si="0"/>
        <v>2.8779939114088191</v>
      </c>
      <c r="X59" s="1"/>
      <c r="Y59" s="142"/>
      <c r="Z59" s="46"/>
    </row>
    <row r="60" spans="1:26" hidden="1">
      <c r="E60" s="1">
        <v>6</v>
      </c>
      <c r="F60" s="1">
        <f t="shared" si="4"/>
        <v>0.54579556981271349</v>
      </c>
      <c r="G60" s="1">
        <f t="shared" si="5"/>
        <v>0.54579556981271349</v>
      </c>
      <c r="H60" s="1">
        <f t="shared" si="6"/>
        <v>0</v>
      </c>
      <c r="I60" s="1">
        <f t="shared" si="0"/>
        <v>2.8779939114088191</v>
      </c>
      <c r="X60" s="1"/>
      <c r="Y60" s="142"/>
      <c r="Z60" s="46"/>
    </row>
    <row r="61" spans="1:26" hidden="1">
      <c r="E61" s="1">
        <v>7</v>
      </c>
      <c r="F61" s="1">
        <f t="shared" si="4"/>
        <v>0.54579556981271349</v>
      </c>
      <c r="G61" s="1">
        <f t="shared" si="5"/>
        <v>0.54579556981271349</v>
      </c>
      <c r="H61" s="1">
        <f t="shared" si="6"/>
        <v>0</v>
      </c>
      <c r="I61" s="39">
        <f t="shared" si="0"/>
        <v>2.8779939114088191</v>
      </c>
      <c r="X61" s="1"/>
      <c r="Y61" s="142"/>
      <c r="Z61" s="46"/>
    </row>
    <row r="62" spans="1:26" hidden="1">
      <c r="A62" s="1"/>
      <c r="B62" s="142" t="s">
        <v>257</v>
      </c>
      <c r="C62" s="123">
        <f>TANH(PI()*C42/(4*C44))/TANH(PI()*(2*C43+C42)/(4*C44))</f>
        <v>0.45424428986129606</v>
      </c>
      <c r="D62" s="55" t="s">
        <v>102</v>
      </c>
      <c r="E62" s="1">
        <v>0</v>
      </c>
      <c r="F62" s="1">
        <v>1</v>
      </c>
      <c r="G62" s="1">
        <f>SQRT(1-C62*C62)</f>
        <v>0.89087716612808454</v>
      </c>
      <c r="H62" s="117">
        <f>C62</f>
        <v>0.45424428986129606</v>
      </c>
      <c r="I62" s="1">
        <f t="shared" si="0"/>
        <v>1.5707963267948966</v>
      </c>
      <c r="X62" s="1"/>
      <c r="Y62" s="142"/>
      <c r="Z62" s="46"/>
    </row>
    <row r="63" spans="1:26" hidden="1">
      <c r="E63" s="1">
        <v>1</v>
      </c>
      <c r="F63" s="1">
        <f t="shared" ref="F63:F69" si="7">(F62+G62)/2</f>
        <v>0.94543858306404227</v>
      </c>
      <c r="G63" s="1">
        <f t="shared" ref="G63:G69" si="8">SQRT(F62*G62)</f>
        <v>0.94386289583184935</v>
      </c>
      <c r="H63" s="1">
        <f t="shared" ref="H63:H69" si="9">(F62-G62)/2</f>
        <v>5.4561416935957729E-2</v>
      </c>
      <c r="I63" s="1">
        <f t="shared" si="0"/>
        <v>1.6614472425106155</v>
      </c>
      <c r="X63" s="1"/>
      <c r="Y63" s="142"/>
      <c r="Z63" s="46"/>
    </row>
    <row r="64" spans="1:26" hidden="1">
      <c r="E64" s="1">
        <v>2</v>
      </c>
      <c r="F64" s="1">
        <f t="shared" si="7"/>
        <v>0.94465073944794575</v>
      </c>
      <c r="G64" s="1">
        <f t="shared" si="8"/>
        <v>0.94465041091505775</v>
      </c>
      <c r="H64" s="1">
        <f t="shared" si="9"/>
        <v>7.8784361609646192E-4</v>
      </c>
      <c r="I64" s="1">
        <f t="shared" si="0"/>
        <v>1.6628328981279055</v>
      </c>
      <c r="X64" s="1"/>
      <c r="Y64" s="142"/>
      <c r="Z64" s="46"/>
    </row>
    <row r="65" spans="1:26" hidden="1">
      <c r="E65" s="1">
        <v>3</v>
      </c>
      <c r="F65" s="1">
        <f t="shared" si="7"/>
        <v>0.94465057518150175</v>
      </c>
      <c r="G65" s="1">
        <f t="shared" si="8"/>
        <v>0.94465057518148743</v>
      </c>
      <c r="H65" s="1">
        <f t="shared" si="9"/>
        <v>1.6426644400269197E-7</v>
      </c>
      <c r="I65" s="1">
        <f t="shared" si="0"/>
        <v>1.662833187279952</v>
      </c>
      <c r="X65" s="1"/>
      <c r="Y65" s="142"/>
      <c r="Z65" s="46"/>
    </row>
    <row r="66" spans="1:26" hidden="1">
      <c r="E66" s="1">
        <v>4</v>
      </c>
      <c r="F66" s="1">
        <f t="shared" si="7"/>
        <v>0.94465057518149464</v>
      </c>
      <c r="G66" s="1">
        <f t="shared" si="8"/>
        <v>0.94465057518149453</v>
      </c>
      <c r="H66" s="1">
        <f t="shared" si="9"/>
        <v>7.1609385088322597E-15</v>
      </c>
      <c r="I66" s="1">
        <f t="shared" si="0"/>
        <v>1.6628331872799647</v>
      </c>
      <c r="X66" s="1"/>
      <c r="Y66" s="142"/>
      <c r="Z66" s="46"/>
    </row>
    <row r="67" spans="1:26" hidden="1">
      <c r="E67" s="10">
        <v>5</v>
      </c>
      <c r="F67" s="1">
        <f t="shared" si="7"/>
        <v>0.94465057518149464</v>
      </c>
      <c r="G67" s="1">
        <f t="shared" si="8"/>
        <v>0.94465057518149453</v>
      </c>
      <c r="H67" s="1">
        <f t="shared" si="9"/>
        <v>5.5511151231257827E-17</v>
      </c>
      <c r="I67" s="1">
        <f t="shared" si="0"/>
        <v>1.6628331872799647</v>
      </c>
      <c r="X67" s="1"/>
      <c r="Y67" s="142"/>
      <c r="Z67" s="46"/>
    </row>
    <row r="68" spans="1:26" hidden="1">
      <c r="E68" s="1">
        <v>6</v>
      </c>
      <c r="F68" s="1">
        <f t="shared" si="7"/>
        <v>0.94465057518149464</v>
      </c>
      <c r="G68" s="1">
        <f t="shared" si="8"/>
        <v>0.94465057518149453</v>
      </c>
      <c r="H68" s="1">
        <f t="shared" si="9"/>
        <v>5.5511151231257827E-17</v>
      </c>
      <c r="I68" s="1">
        <f t="shared" si="0"/>
        <v>1.6628331872799647</v>
      </c>
      <c r="X68" s="1"/>
      <c r="Y68" s="142"/>
      <c r="Z68" s="46"/>
    </row>
    <row r="69" spans="1:26" hidden="1">
      <c r="E69" s="1">
        <v>7</v>
      </c>
      <c r="F69" s="1">
        <f t="shared" si="7"/>
        <v>0.94465057518149464</v>
      </c>
      <c r="G69" s="1">
        <f t="shared" si="8"/>
        <v>0.94465057518149453</v>
      </c>
      <c r="H69" s="1">
        <f t="shared" si="9"/>
        <v>5.5511151231257827E-17</v>
      </c>
      <c r="I69" s="39">
        <f t="shared" si="0"/>
        <v>1.6628331872799647</v>
      </c>
      <c r="X69" s="1"/>
      <c r="Y69" s="142"/>
      <c r="Z69" s="46"/>
    </row>
    <row r="70" spans="1:26" hidden="1">
      <c r="A70" s="1"/>
      <c r="B70" s="142" t="s">
        <v>258</v>
      </c>
      <c r="C70" s="46">
        <f>SQRT(1-(C62)^2)</f>
        <v>0.89087716612808454</v>
      </c>
      <c r="D70" s="55" t="s">
        <v>102</v>
      </c>
      <c r="E70" s="1">
        <v>0</v>
      </c>
      <c r="F70" s="1">
        <v>1</v>
      </c>
      <c r="G70" s="1">
        <f>SQRT(1-C70*C70)</f>
        <v>0.45424428986129617</v>
      </c>
      <c r="H70" s="117">
        <f>C70</f>
        <v>0.89087716612808454</v>
      </c>
      <c r="I70" s="1">
        <f t="shared" si="0"/>
        <v>1.5707963267948966</v>
      </c>
      <c r="X70" s="1"/>
      <c r="Y70" s="142"/>
      <c r="Z70" s="46"/>
    </row>
    <row r="71" spans="1:26" hidden="1">
      <c r="A71" s="1"/>
      <c r="B71" s="142"/>
      <c r="C71" s="46"/>
      <c r="D71" s="1"/>
      <c r="E71" s="1">
        <v>1</v>
      </c>
      <c r="F71" s="1">
        <f>(F70+G70)/2</f>
        <v>0.72712214493064808</v>
      </c>
      <c r="G71" s="1">
        <f>SQRT(F70*G70)</f>
        <v>0.67397647574770458</v>
      </c>
      <c r="H71" s="1">
        <f>(F70-G70)/2</f>
        <v>0.27287785506935192</v>
      </c>
      <c r="I71" s="1">
        <f t="shared" si="0"/>
        <v>2.1602922394073376</v>
      </c>
      <c r="X71" s="1"/>
      <c r="Y71" s="142"/>
      <c r="Z71" s="46"/>
    </row>
    <row r="72" spans="1:26" hidden="1">
      <c r="A72" s="1"/>
      <c r="B72" s="142"/>
      <c r="C72" s="46"/>
      <c r="D72" s="1"/>
      <c r="E72" s="1">
        <v>2</v>
      </c>
      <c r="F72" s="1">
        <f t="shared" ref="F72:F77" si="10">(F71+G71)/2</f>
        <v>0.70054931033917633</v>
      </c>
      <c r="G72" s="1">
        <f t="shared" ref="G72:G77" si="11">SQRT(F71*G71)</f>
        <v>0.70004515617099294</v>
      </c>
      <c r="H72" s="1">
        <f t="shared" ref="H72:H77" si="12">(F71-G71)/2</f>
        <v>2.657283459147175E-2</v>
      </c>
      <c r="I72" s="1">
        <f t="shared" ref="I72:I77" si="13">PI()/(2*F72)</f>
        <v>2.2422352054481123</v>
      </c>
      <c r="X72" s="1"/>
      <c r="Y72" s="142"/>
      <c r="Z72" s="46"/>
    </row>
    <row r="73" spans="1:26" hidden="1">
      <c r="A73" s="1"/>
      <c r="B73" s="142"/>
      <c r="C73" s="46"/>
      <c r="D73" s="1"/>
      <c r="E73" s="1">
        <v>3</v>
      </c>
      <c r="F73" s="1">
        <f t="shared" si="10"/>
        <v>0.70029723325508464</v>
      </c>
      <c r="G73" s="1">
        <f t="shared" si="11"/>
        <v>0.70029718788659301</v>
      </c>
      <c r="H73" s="1">
        <f t="shared" si="12"/>
        <v>2.5207708409169527E-4</v>
      </c>
      <c r="I73" s="1">
        <f t="shared" si="13"/>
        <v>2.2430423143235965</v>
      </c>
      <c r="X73" s="1"/>
      <c r="Y73" s="142"/>
      <c r="Z73" s="46"/>
    </row>
    <row r="74" spans="1:26" hidden="1">
      <c r="A74" s="1"/>
      <c r="B74" s="142"/>
      <c r="C74" s="46"/>
      <c r="D74" s="1"/>
      <c r="E74" s="1">
        <v>4</v>
      </c>
      <c r="F74" s="1">
        <f t="shared" si="10"/>
        <v>0.70029721057083882</v>
      </c>
      <c r="G74" s="1">
        <f t="shared" si="11"/>
        <v>0.70029721057083849</v>
      </c>
      <c r="H74" s="1">
        <f t="shared" si="12"/>
        <v>2.2684245815085546E-8</v>
      </c>
      <c r="I74" s="1">
        <f t="shared" si="13"/>
        <v>2.2430423869809233</v>
      </c>
      <c r="X74" s="1"/>
      <c r="Y74" s="142"/>
      <c r="Z74" s="46"/>
    </row>
    <row r="75" spans="1:26" hidden="1">
      <c r="A75" s="1"/>
      <c r="B75" s="142"/>
      <c r="C75" s="46"/>
      <c r="D75" s="1"/>
      <c r="E75" s="10">
        <v>5</v>
      </c>
      <c r="F75" s="1">
        <f t="shared" si="10"/>
        <v>0.70029721057083871</v>
      </c>
      <c r="G75" s="1">
        <f t="shared" si="11"/>
        <v>0.70029721057083871</v>
      </c>
      <c r="H75" s="1">
        <f t="shared" si="12"/>
        <v>1.6653345369377348E-16</v>
      </c>
      <c r="I75" s="1">
        <f t="shared" si="13"/>
        <v>2.2430423869809237</v>
      </c>
      <c r="X75" s="1"/>
      <c r="Y75" s="142"/>
      <c r="Z75" s="46"/>
    </row>
    <row r="76" spans="1:26" hidden="1">
      <c r="A76" s="1"/>
      <c r="B76" s="142"/>
      <c r="C76" s="46"/>
      <c r="D76" s="1"/>
      <c r="E76" s="1">
        <v>6</v>
      </c>
      <c r="F76" s="1">
        <f t="shared" si="10"/>
        <v>0.70029721057083871</v>
      </c>
      <c r="G76" s="1">
        <f t="shared" si="11"/>
        <v>0.70029721057083871</v>
      </c>
      <c r="H76" s="1">
        <f t="shared" si="12"/>
        <v>0</v>
      </c>
      <c r="I76" s="1">
        <f t="shared" si="13"/>
        <v>2.2430423869809237</v>
      </c>
      <c r="X76" s="1"/>
      <c r="Y76" s="142"/>
      <c r="Z76" s="46"/>
    </row>
    <row r="77" spans="1:26" hidden="1">
      <c r="A77" s="50"/>
      <c r="B77" s="143"/>
      <c r="C77" s="81"/>
      <c r="D77" s="50"/>
      <c r="E77" s="50">
        <v>7</v>
      </c>
      <c r="F77" s="50">
        <f t="shared" si="10"/>
        <v>0.70029721057083871</v>
      </c>
      <c r="G77" s="50">
        <f t="shared" si="11"/>
        <v>0.70029721057083871</v>
      </c>
      <c r="H77" s="50">
        <f t="shared" si="12"/>
        <v>0</v>
      </c>
      <c r="I77" s="162">
        <f t="shared" si="13"/>
        <v>2.2430423869809237</v>
      </c>
      <c r="J77" s="17"/>
      <c r="K77" s="17"/>
      <c r="L77" s="17"/>
      <c r="M77" s="17"/>
      <c r="X77" s="1"/>
      <c r="Y77" s="142"/>
      <c r="Z77" s="46"/>
    </row>
    <row r="78" spans="1:26">
      <c r="A78" s="125" t="s">
        <v>239</v>
      </c>
      <c r="B78" s="125"/>
      <c r="C78" s="56" t="s">
        <v>31</v>
      </c>
      <c r="D78" s="56" t="s">
        <v>11</v>
      </c>
      <c r="E78" s="57" t="s">
        <v>32</v>
      </c>
      <c r="F78" s="51"/>
      <c r="G78" s="51"/>
      <c r="H78" s="50"/>
      <c r="I78" s="17"/>
      <c r="J78" s="17"/>
      <c r="K78" s="17"/>
      <c r="L78" s="17"/>
      <c r="M78" s="17"/>
      <c r="X78" s="1"/>
      <c r="Y78" s="142"/>
      <c r="Z78" s="46"/>
    </row>
    <row r="79" spans="1:26">
      <c r="A79" s="46" t="s">
        <v>240</v>
      </c>
      <c r="B79" s="116"/>
      <c r="C79" s="135">
        <f>(1+C41*I61/I53*I69/I77)/(1+I61/I53*I69/I77)</f>
        <v>3.0041848323636242</v>
      </c>
      <c r="D79" s="130" t="s">
        <v>102</v>
      </c>
      <c r="E79" s="132" t="s">
        <v>254</v>
      </c>
      <c r="F79" s="133"/>
      <c r="G79" s="133"/>
      <c r="H79" s="131"/>
      <c r="I79" s="131"/>
      <c r="J79" s="131"/>
      <c r="K79" s="131"/>
      <c r="L79" s="131"/>
      <c r="M79" s="131"/>
    </row>
    <row r="80" spans="1:26">
      <c r="A80" s="46"/>
      <c r="B80" s="116"/>
      <c r="C80" s="141"/>
      <c r="D80" s="133"/>
      <c r="E80" s="133"/>
      <c r="F80" s="133"/>
      <c r="G80" s="133"/>
      <c r="H80" s="131"/>
      <c r="I80" s="131"/>
      <c r="J80" s="131"/>
      <c r="K80" s="131"/>
      <c r="L80" s="131"/>
      <c r="M80" s="131"/>
    </row>
    <row r="81" spans="1:15">
      <c r="A81" s="17"/>
      <c r="B81" s="17"/>
      <c r="C81" s="17"/>
      <c r="D81" s="17"/>
      <c r="E81" s="17"/>
      <c r="F81" s="50"/>
      <c r="G81" s="17"/>
      <c r="H81" s="17"/>
      <c r="I81" s="17"/>
      <c r="J81" s="17"/>
      <c r="K81" s="17"/>
      <c r="L81" s="17"/>
      <c r="M81" s="17"/>
      <c r="N81" s="1"/>
      <c r="O81" s="1"/>
    </row>
    <row r="82" spans="1:15" ht="21">
      <c r="A82" s="307" t="s">
        <v>241</v>
      </c>
      <c r="B82" s="307"/>
      <c r="C82" s="307"/>
      <c r="D82" s="307"/>
      <c r="E82" s="307"/>
      <c r="F82" s="307"/>
      <c r="G82" s="307"/>
      <c r="H82" s="307"/>
      <c r="I82" s="307"/>
      <c r="J82" s="307"/>
      <c r="K82" s="307"/>
      <c r="L82" s="307"/>
      <c r="M82" s="307"/>
      <c r="N82" s="1"/>
      <c r="O82" s="1"/>
    </row>
    <row r="83" spans="1:15">
      <c r="N83" s="1"/>
      <c r="O83" s="1"/>
    </row>
    <row r="84" spans="1:15">
      <c r="A84" s="127"/>
      <c r="B84" s="1"/>
      <c r="C84" s="128"/>
      <c r="D84" s="128"/>
      <c r="E84" s="129"/>
      <c r="F84" s="129"/>
      <c r="G84" s="129"/>
      <c r="H84" s="39"/>
      <c r="I84" s="39"/>
      <c r="J84" s="39"/>
      <c r="K84" s="1"/>
      <c r="L84" s="39"/>
      <c r="M84" s="1"/>
      <c r="N84" s="1"/>
      <c r="O84" s="1"/>
    </row>
    <row r="85" spans="1:15">
      <c r="A85" s="1"/>
      <c r="B85" s="1"/>
      <c r="C85" s="180"/>
      <c r="D85" s="46"/>
      <c r="E85" s="2"/>
      <c r="F85" s="20"/>
      <c r="G85" s="117"/>
      <c r="H85" s="46"/>
      <c r="I85" s="1"/>
      <c r="J85" s="1"/>
      <c r="K85" s="1"/>
      <c r="L85" s="1"/>
      <c r="M85" s="1"/>
      <c r="N85" s="1"/>
      <c r="O85" s="1"/>
    </row>
    <row r="86" spans="1:15">
      <c r="A86" s="1"/>
      <c r="B86" s="1"/>
      <c r="C86" s="1"/>
      <c r="D86" s="1"/>
      <c r="E86" s="1"/>
      <c r="G86" s="1"/>
      <c r="H86" s="1"/>
      <c r="I86" s="1"/>
      <c r="J86" s="1"/>
      <c r="K86" s="1"/>
      <c r="L86" s="1"/>
      <c r="M86" s="1"/>
    </row>
    <row r="87" spans="1:15">
      <c r="A87" s="17"/>
      <c r="B87" s="17"/>
      <c r="C87" s="17"/>
      <c r="D87" s="17"/>
      <c r="E87" s="17"/>
      <c r="F87" s="50"/>
      <c r="G87" s="17"/>
      <c r="H87" s="17"/>
      <c r="I87" s="17"/>
      <c r="J87" s="17"/>
      <c r="K87" s="17"/>
      <c r="L87" s="17"/>
      <c r="M87" s="17"/>
    </row>
    <row r="88" spans="1:15">
      <c r="A88" s="125" t="s">
        <v>30</v>
      </c>
      <c r="B88" s="125"/>
      <c r="C88" s="56" t="s">
        <v>31</v>
      </c>
      <c r="D88" s="56" t="s">
        <v>11</v>
      </c>
      <c r="E88" s="57" t="s">
        <v>32</v>
      </c>
      <c r="F88" s="51"/>
      <c r="G88" s="51"/>
      <c r="H88" s="50"/>
      <c r="I88" s="17"/>
      <c r="J88" s="17"/>
      <c r="K88" s="17"/>
      <c r="L88" s="17"/>
      <c r="M88" s="17"/>
    </row>
    <row r="89" spans="1:15">
      <c r="A89" s="136" t="s">
        <v>100</v>
      </c>
      <c r="B89" s="41"/>
      <c r="C89" s="178" t="s">
        <v>314</v>
      </c>
      <c r="D89" s="137" t="s">
        <v>102</v>
      </c>
      <c r="E89" s="136" t="s">
        <v>242</v>
      </c>
      <c r="F89" s="41"/>
      <c r="G89" s="41"/>
      <c r="H89" s="41"/>
      <c r="I89" s="41"/>
      <c r="J89" s="41"/>
      <c r="K89" s="41"/>
      <c r="L89" s="41"/>
      <c r="M89" s="41"/>
    </row>
    <row r="90" spans="1:15">
      <c r="A90" s="125" t="s">
        <v>239</v>
      </c>
      <c r="B90" s="125"/>
      <c r="C90" s="56" t="s">
        <v>31</v>
      </c>
      <c r="D90" s="56" t="s">
        <v>11</v>
      </c>
      <c r="E90" s="57" t="s">
        <v>32</v>
      </c>
      <c r="F90" s="51"/>
      <c r="G90" s="51"/>
      <c r="H90" s="50"/>
      <c r="I90" s="17"/>
      <c r="J90" s="17"/>
      <c r="K90" s="17"/>
      <c r="L90" s="17"/>
      <c r="M90" s="17"/>
    </row>
    <row r="91" spans="1:15">
      <c r="A91" s="46" t="s">
        <v>240</v>
      </c>
      <c r="B91" s="116"/>
      <c r="C91" s="135" t="str">
        <f>C89</f>
        <v>4.5</v>
      </c>
      <c r="D91" s="130" t="s">
        <v>102</v>
      </c>
      <c r="E91" s="132" t="s">
        <v>251</v>
      </c>
      <c r="F91" s="133"/>
      <c r="G91" s="133"/>
      <c r="H91" s="131"/>
      <c r="I91" s="131"/>
      <c r="J91" s="131"/>
      <c r="K91" s="131"/>
      <c r="L91" s="131"/>
      <c r="M91" s="131"/>
    </row>
    <row r="94" spans="1:15" ht="21">
      <c r="A94" s="307" t="s">
        <v>312</v>
      </c>
      <c r="B94" s="307"/>
      <c r="C94" s="307"/>
      <c r="D94" s="307"/>
      <c r="E94" s="307"/>
      <c r="F94" s="307"/>
      <c r="G94" s="307"/>
      <c r="H94" s="307"/>
      <c r="I94" s="307"/>
      <c r="J94" s="307"/>
      <c r="K94" s="307"/>
      <c r="L94" s="307"/>
      <c r="M94" s="307"/>
    </row>
    <row r="106" spans="1:13">
      <c r="A106" s="17"/>
      <c r="B106" s="17"/>
      <c r="C106" s="17"/>
      <c r="D106" s="17"/>
      <c r="E106" s="17"/>
      <c r="F106" s="50"/>
      <c r="G106" s="17"/>
      <c r="H106" s="17"/>
      <c r="I106" s="17"/>
      <c r="J106" s="17"/>
      <c r="K106" s="17"/>
      <c r="L106" s="17"/>
      <c r="M106" s="17"/>
    </row>
    <row r="107" spans="1:13">
      <c r="A107" s="125" t="s">
        <v>30</v>
      </c>
      <c r="B107" s="125"/>
      <c r="C107" s="56" t="s">
        <v>31</v>
      </c>
      <c r="D107" s="56" t="s">
        <v>11</v>
      </c>
      <c r="E107" s="57" t="s">
        <v>32</v>
      </c>
      <c r="F107" s="51"/>
      <c r="G107" s="51"/>
      <c r="H107" s="50"/>
      <c r="I107" s="17"/>
      <c r="J107" s="17"/>
      <c r="K107" s="17"/>
      <c r="L107" s="17"/>
      <c r="M107" s="17"/>
    </row>
    <row r="108" spans="1:13">
      <c r="A108" s="38" t="s">
        <v>267</v>
      </c>
      <c r="B108" s="174"/>
      <c r="C108" s="175" t="s">
        <v>563</v>
      </c>
      <c r="D108" s="112" t="s">
        <v>102</v>
      </c>
      <c r="E108" s="38" t="s">
        <v>266</v>
      </c>
      <c r="F108" s="174"/>
      <c r="G108" s="174"/>
      <c r="H108" s="174"/>
      <c r="I108" s="174"/>
      <c r="J108" s="174"/>
      <c r="K108" s="174"/>
      <c r="L108" s="174"/>
      <c r="M108" s="174"/>
    </row>
    <row r="109" spans="1:13">
      <c r="A109" s="46" t="s">
        <v>268</v>
      </c>
      <c r="B109" s="1"/>
      <c r="C109" s="176" t="s">
        <v>101</v>
      </c>
      <c r="D109" s="55" t="s">
        <v>102</v>
      </c>
      <c r="E109" s="16" t="s">
        <v>311</v>
      </c>
      <c r="G109" s="1"/>
      <c r="H109" s="1"/>
      <c r="I109" s="1"/>
      <c r="J109" s="1"/>
      <c r="K109" s="1"/>
      <c r="L109" s="1"/>
      <c r="M109" s="1"/>
    </row>
    <row r="110" spans="1:13">
      <c r="A110" s="125" t="s">
        <v>239</v>
      </c>
      <c r="B110" s="125"/>
      <c r="C110" s="56" t="s">
        <v>31</v>
      </c>
      <c r="D110" s="56" t="s">
        <v>11</v>
      </c>
      <c r="E110" s="57" t="s">
        <v>32</v>
      </c>
      <c r="F110" s="51"/>
      <c r="G110" s="51"/>
      <c r="H110" s="50"/>
      <c r="I110" s="17"/>
      <c r="J110" s="17"/>
      <c r="K110" s="17"/>
      <c r="L110" s="17"/>
      <c r="M110" s="17"/>
    </row>
    <row r="111" spans="1:13">
      <c r="A111" s="46" t="s">
        <v>240</v>
      </c>
      <c r="B111" s="116"/>
      <c r="C111" s="135">
        <f>C109+0.25*(C108-C109)</f>
        <v>1.5</v>
      </c>
      <c r="D111" s="130" t="s">
        <v>102</v>
      </c>
      <c r="E111" s="132" t="s">
        <v>244</v>
      </c>
      <c r="F111" s="133"/>
      <c r="G111" s="133"/>
      <c r="H111" s="131"/>
      <c r="I111" s="131"/>
      <c r="J111" s="131"/>
      <c r="K111" s="131"/>
      <c r="L111" s="131"/>
      <c r="M111" s="131"/>
    </row>
    <row r="113" spans="1:13">
      <c r="A113" s="1"/>
      <c r="B113" s="1"/>
      <c r="C113" s="180"/>
      <c r="D113" s="46"/>
      <c r="E113" s="2"/>
      <c r="F113" s="20"/>
      <c r="G113" s="117"/>
      <c r="H113" s="46"/>
      <c r="I113" s="1"/>
      <c r="J113" s="1"/>
      <c r="K113" s="1"/>
      <c r="L113" s="1"/>
      <c r="M113" s="1"/>
    </row>
    <row r="114" spans="1:13" ht="21">
      <c r="A114" s="307" t="s">
        <v>313</v>
      </c>
      <c r="B114" s="307"/>
      <c r="C114" s="307"/>
      <c r="D114" s="307"/>
      <c r="E114" s="307"/>
      <c r="F114" s="307"/>
      <c r="G114" s="307"/>
      <c r="H114" s="307"/>
      <c r="I114" s="307"/>
      <c r="J114" s="307"/>
      <c r="K114" s="307"/>
      <c r="L114" s="307"/>
      <c r="M114" s="307"/>
    </row>
    <row r="126" spans="1:13">
      <c r="A126" s="17"/>
      <c r="B126" s="17"/>
      <c r="C126" s="17"/>
      <c r="D126" s="17"/>
      <c r="E126" s="17"/>
      <c r="F126" s="50"/>
      <c r="G126" s="17"/>
      <c r="H126" s="17"/>
      <c r="I126" s="17"/>
      <c r="J126" s="17"/>
      <c r="K126" s="17"/>
      <c r="L126" s="17"/>
      <c r="M126" s="17"/>
    </row>
    <row r="127" spans="1:13">
      <c r="A127" s="125" t="s">
        <v>30</v>
      </c>
      <c r="B127" s="125"/>
      <c r="C127" s="56" t="s">
        <v>31</v>
      </c>
      <c r="D127" s="56" t="s">
        <v>11</v>
      </c>
      <c r="E127" s="57" t="s">
        <v>32</v>
      </c>
      <c r="F127" s="51"/>
      <c r="G127" s="51"/>
      <c r="H127" s="50"/>
      <c r="I127" s="17"/>
      <c r="J127" s="17"/>
      <c r="K127" s="17"/>
      <c r="L127" s="17"/>
      <c r="M127" s="17"/>
    </row>
    <row r="128" spans="1:13">
      <c r="A128" s="38" t="s">
        <v>267</v>
      </c>
      <c r="B128" s="174"/>
      <c r="C128" s="175" t="s">
        <v>563</v>
      </c>
      <c r="D128" s="112" t="s">
        <v>102</v>
      </c>
      <c r="E128" s="38" t="s">
        <v>266</v>
      </c>
      <c r="F128" s="174"/>
      <c r="G128" s="174"/>
      <c r="H128" s="174"/>
      <c r="I128" s="174"/>
      <c r="J128" s="174"/>
      <c r="K128" s="174"/>
      <c r="L128" s="174"/>
      <c r="M128" s="174"/>
    </row>
    <row r="129" spans="1:13">
      <c r="A129" s="46" t="s">
        <v>268</v>
      </c>
      <c r="B129" s="1"/>
      <c r="C129" s="176" t="s">
        <v>101</v>
      </c>
      <c r="D129" s="55" t="s">
        <v>102</v>
      </c>
      <c r="E129" s="16" t="s">
        <v>304</v>
      </c>
      <c r="G129" s="1"/>
      <c r="H129" s="1"/>
      <c r="I129" s="1"/>
      <c r="J129" s="1"/>
      <c r="K129" s="1"/>
      <c r="L129" s="1"/>
      <c r="M129" s="1"/>
    </row>
    <row r="130" spans="1:13">
      <c r="A130" s="46" t="s">
        <v>305</v>
      </c>
      <c r="B130" s="1"/>
      <c r="C130" s="176" t="s">
        <v>308</v>
      </c>
      <c r="D130" s="55" t="s">
        <v>99</v>
      </c>
      <c r="E130" s="16" t="s">
        <v>307</v>
      </c>
      <c r="G130" s="1"/>
      <c r="H130" s="1"/>
      <c r="I130" s="1"/>
      <c r="J130" s="1"/>
      <c r="K130" s="1"/>
      <c r="L130" s="1"/>
      <c r="M130" s="1"/>
    </row>
    <row r="131" spans="1:13">
      <c r="A131" s="81" t="s">
        <v>306</v>
      </c>
      <c r="B131" s="50"/>
      <c r="C131" s="177" t="s">
        <v>153</v>
      </c>
      <c r="D131" s="126" t="s">
        <v>102</v>
      </c>
      <c r="E131" s="74" t="s">
        <v>309</v>
      </c>
      <c r="F131" s="50"/>
      <c r="G131" s="50"/>
      <c r="H131" s="50"/>
      <c r="I131" s="50"/>
      <c r="J131" s="50"/>
      <c r="K131" s="50"/>
      <c r="L131" s="50"/>
      <c r="M131" s="50"/>
    </row>
    <row r="132" spans="1:13">
      <c r="A132" s="125" t="s">
        <v>239</v>
      </c>
      <c r="B132" s="125"/>
      <c r="C132" s="56" t="s">
        <v>31</v>
      </c>
      <c r="D132" s="56" t="s">
        <v>11</v>
      </c>
      <c r="E132" s="57" t="s">
        <v>32</v>
      </c>
      <c r="F132" s="51"/>
      <c r="G132" s="51"/>
      <c r="H132" s="50"/>
      <c r="I132" s="17"/>
      <c r="J132" s="17"/>
      <c r="K132" s="17"/>
      <c r="L132" s="17"/>
      <c r="M132" s="17"/>
    </row>
    <row r="133" spans="1:13">
      <c r="A133" s="46" t="s">
        <v>240</v>
      </c>
      <c r="B133" s="116"/>
      <c r="C133" s="135">
        <f>C129+(0.25+0.0004*(ATAN(C131*PI()*C130)^2))*(C128-C129)</f>
        <v>1.5002517607476751</v>
      </c>
      <c r="D133" s="130" t="s">
        <v>102</v>
      </c>
      <c r="E133" s="132" t="s">
        <v>244</v>
      </c>
      <c r="F133" s="133"/>
      <c r="G133" s="133"/>
      <c r="H133" s="131"/>
      <c r="I133" s="131"/>
      <c r="J133" s="131"/>
      <c r="K133" s="131"/>
      <c r="L133" s="131"/>
      <c r="M133" s="131"/>
    </row>
    <row r="134" spans="1:13" ht="12">
      <c r="F134" s="10"/>
    </row>
    <row r="135" spans="1:13">
      <c r="A135" s="1" t="s">
        <v>210</v>
      </c>
      <c r="B135" s="1"/>
      <c r="C135" s="1"/>
      <c r="D135" s="1"/>
      <c r="E135" s="1"/>
      <c r="G135" s="1"/>
      <c r="H135" s="1"/>
      <c r="I135" s="1"/>
      <c r="J135" s="1"/>
      <c r="K135" s="1"/>
      <c r="L135" s="1"/>
      <c r="M135" s="1"/>
    </row>
    <row r="136" spans="1:13">
      <c r="A136" s="305" t="s">
        <v>243</v>
      </c>
      <c r="B136" s="305"/>
      <c r="C136" s="305"/>
      <c r="D136" s="305"/>
      <c r="E136" s="305"/>
      <c r="F136" s="305"/>
      <c r="G136" s="305"/>
      <c r="H136" s="305"/>
      <c r="I136" s="305"/>
      <c r="J136" s="305"/>
      <c r="K136" s="305"/>
      <c r="L136" s="305"/>
      <c r="M136" s="305"/>
    </row>
    <row r="137" spans="1:13">
      <c r="A137" s="120" t="s">
        <v>253</v>
      </c>
      <c r="B137" s="120"/>
      <c r="C137" s="120"/>
      <c r="D137" s="120"/>
      <c r="E137" s="120"/>
      <c r="F137" s="120"/>
      <c r="G137" s="120"/>
      <c r="H137" s="120"/>
      <c r="I137" s="120"/>
      <c r="J137" s="120"/>
      <c r="K137" s="120"/>
      <c r="L137" s="120"/>
      <c r="M137" s="120"/>
    </row>
    <row r="138" spans="1:13">
      <c r="A138" s="120" t="s">
        <v>564</v>
      </c>
      <c r="B138" s="120"/>
      <c r="C138" s="120"/>
      <c r="D138" s="120"/>
      <c r="E138" s="120"/>
      <c r="F138" s="120"/>
      <c r="G138" s="120"/>
      <c r="H138" s="120"/>
      <c r="I138" s="120"/>
      <c r="J138" s="120"/>
      <c r="K138" s="120"/>
      <c r="L138" s="120"/>
      <c r="M138" s="120"/>
    </row>
    <row r="139" spans="1:13">
      <c r="A139" s="1"/>
      <c r="B139" s="1"/>
      <c r="C139" s="1"/>
      <c r="D139" s="1"/>
      <c r="E139" s="1"/>
      <c r="G139" s="1"/>
      <c r="H139" s="1"/>
      <c r="I139" s="1"/>
      <c r="J139" s="1"/>
      <c r="K139" s="1"/>
      <c r="L139" s="1"/>
      <c r="M139" s="1"/>
    </row>
    <row r="140" spans="1:13" ht="21.75" customHeight="1">
      <c r="A140" s="288" t="s">
        <v>37</v>
      </c>
      <c r="B140" s="288"/>
      <c r="C140" s="288"/>
      <c r="D140" s="288"/>
      <c r="E140" s="288"/>
      <c r="F140" s="288"/>
      <c r="G140" s="288"/>
      <c r="H140" s="288"/>
      <c r="I140" s="288"/>
      <c r="J140" s="288"/>
      <c r="K140" s="288"/>
      <c r="L140" s="288"/>
      <c r="M140" s="288"/>
    </row>
    <row r="143" spans="1:13">
      <c r="A143" s="46"/>
      <c r="B143" s="116"/>
      <c r="C143" s="141"/>
      <c r="D143" s="133"/>
      <c r="E143" s="133"/>
      <c r="F143" s="133"/>
      <c r="G143" s="133"/>
      <c r="H143" s="131"/>
      <c r="I143" s="131"/>
      <c r="J143" s="131"/>
      <c r="K143" s="131"/>
      <c r="L143" s="131"/>
      <c r="M143" s="131"/>
    </row>
    <row r="144" spans="1:13">
      <c r="A144" s="46"/>
      <c r="B144" s="116"/>
      <c r="C144" s="141"/>
      <c r="D144" s="133"/>
      <c r="E144" s="133"/>
      <c r="F144" s="133"/>
      <c r="G144" s="133"/>
      <c r="H144" s="131"/>
      <c r="I144" s="131"/>
      <c r="J144" s="131"/>
      <c r="K144" s="131"/>
      <c r="L144" s="131"/>
      <c r="M144" s="131"/>
    </row>
    <row r="145" spans="1:13">
      <c r="A145" s="46"/>
      <c r="B145" s="116"/>
      <c r="C145" s="141"/>
      <c r="D145" s="133"/>
      <c r="E145" s="133"/>
      <c r="F145" s="133"/>
      <c r="G145" s="133"/>
      <c r="H145" s="131"/>
      <c r="I145" s="131"/>
      <c r="J145" s="131"/>
      <c r="K145" s="131"/>
      <c r="L145" s="131"/>
      <c r="M145" s="131"/>
    </row>
    <row r="147" spans="1:13" ht="12">
      <c r="F147" s="10"/>
    </row>
    <row r="148" spans="1:13" ht="12">
      <c r="F148" s="10"/>
    </row>
    <row r="149" spans="1:13" ht="12">
      <c r="F149" s="10"/>
    </row>
    <row r="150" spans="1:13" ht="12">
      <c r="F150" s="10"/>
    </row>
    <row r="151" spans="1:13" ht="17.25" customHeight="1">
      <c r="F151" s="10"/>
    </row>
    <row r="152" spans="1:13">
      <c r="A152" s="1"/>
      <c r="B152" s="1"/>
      <c r="C152" s="1"/>
      <c r="D152" s="1"/>
      <c r="E152" s="1"/>
      <c r="G152" s="1"/>
      <c r="H152" s="1"/>
      <c r="I152" s="1"/>
      <c r="J152" s="1"/>
      <c r="K152" s="1"/>
      <c r="L152" s="1"/>
      <c r="M152" s="1"/>
    </row>
    <row r="153" spans="1:13">
      <c r="A153" s="1"/>
      <c r="B153" s="1"/>
      <c r="C153" s="1"/>
      <c r="D153" s="1"/>
      <c r="E153" s="1"/>
      <c r="G153" s="1"/>
      <c r="H153" s="1"/>
      <c r="I153" s="1"/>
      <c r="J153" s="1"/>
      <c r="K153" s="1"/>
      <c r="L153" s="1"/>
      <c r="M153" s="1"/>
    </row>
  </sheetData>
  <sheetProtection sheet="1" objects="1" scenarios="1"/>
  <mergeCells count="7">
    <mergeCell ref="A136:M136"/>
    <mergeCell ref="A140:M140"/>
    <mergeCell ref="A12:M12"/>
    <mergeCell ref="A32:M32"/>
    <mergeCell ref="A82:M82"/>
    <mergeCell ref="A94:M94"/>
    <mergeCell ref="A114:M114"/>
  </mergeCells>
  <phoneticPr fontId="16" type="noConversion"/>
  <pageMargins left="0.25" right="0.25" top="0.75" bottom="0.75" header="0.3" footer="0.3"/>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BCFC-C106-443F-B059-070B1067FF0F}">
  <sheetPr>
    <pageSetUpPr fitToPage="1"/>
  </sheetPr>
  <dimension ref="A1:M158"/>
  <sheetViews>
    <sheetView zoomScaleNormal="100" workbookViewId="0">
      <selection activeCell="B31" sqref="B31"/>
    </sheetView>
  </sheetViews>
  <sheetFormatPr defaultColWidth="8.85546875" defaultRowHeight="15"/>
  <cols>
    <col min="1" max="1" width="22.85546875" customWidth="1"/>
    <col min="2" max="2" width="10.28515625" customWidth="1"/>
    <col min="3" max="3" width="11.85546875" bestFit="1" customWidth="1"/>
    <col min="4" max="4" width="12" customWidth="1"/>
    <col min="5" max="5" width="10.42578125" customWidth="1"/>
    <col min="6" max="6" width="10.7109375" customWidth="1"/>
    <col min="7" max="7" width="9.28515625" customWidth="1"/>
    <col min="9" max="9" width="5.42578125" customWidth="1"/>
    <col min="10" max="10" width="9.7109375" customWidth="1"/>
    <col min="11" max="11" width="8.85546875" customWidth="1"/>
    <col min="12" max="12" width="8.28515625" customWidth="1"/>
    <col min="13" max="13" width="16.7109375" customWidth="1"/>
  </cols>
  <sheetData>
    <row r="1" spans="1:13" ht="15.75">
      <c r="A1" s="39" t="s">
        <v>543</v>
      </c>
      <c r="B1" s="1"/>
      <c r="C1" s="1"/>
      <c r="D1" s="1"/>
      <c r="E1" s="1"/>
      <c r="F1" s="1"/>
      <c r="G1" s="1"/>
      <c r="H1" s="1"/>
      <c r="I1" s="10"/>
      <c r="J1" s="10"/>
      <c r="K1" s="10"/>
      <c r="L1" s="10"/>
      <c r="M1" s="10"/>
    </row>
    <row r="2" spans="1:13" ht="15.75">
      <c r="A2" s="1"/>
      <c r="B2" s="1"/>
      <c r="C2" s="1"/>
      <c r="D2" s="1"/>
      <c r="E2" s="1"/>
      <c r="F2" s="1"/>
      <c r="G2" s="1"/>
      <c r="H2" s="1"/>
      <c r="I2" s="10"/>
      <c r="J2" s="10"/>
      <c r="K2" s="10"/>
      <c r="L2" s="10"/>
      <c r="M2" s="10"/>
    </row>
    <row r="3" spans="1:13" ht="15.75">
      <c r="A3" s="1" t="s">
        <v>1</v>
      </c>
      <c r="B3" s="43" t="s">
        <v>316</v>
      </c>
      <c r="C3" s="1"/>
      <c r="D3" s="1"/>
      <c r="E3" s="1"/>
      <c r="F3" s="10"/>
      <c r="G3" s="10"/>
      <c r="H3" s="10"/>
      <c r="I3" s="10"/>
      <c r="J3" s="10"/>
      <c r="K3" s="10"/>
      <c r="L3" s="10"/>
      <c r="M3" s="10"/>
    </row>
    <row r="4" spans="1:13" ht="15.75">
      <c r="A4" s="1" t="s">
        <v>3</v>
      </c>
      <c r="B4" s="1" t="s">
        <v>4</v>
      </c>
      <c r="C4" s="1"/>
      <c r="D4" s="1"/>
      <c r="E4" s="1"/>
      <c r="F4" s="10"/>
      <c r="G4" s="10"/>
      <c r="H4" s="10"/>
      <c r="I4" s="10"/>
      <c r="J4" s="10"/>
      <c r="K4" s="10"/>
      <c r="L4" s="10"/>
      <c r="M4" s="10"/>
    </row>
    <row r="5" spans="1:13" ht="15.75">
      <c r="A5" s="1" t="s">
        <v>5</v>
      </c>
      <c r="B5" s="1" t="s">
        <v>560</v>
      </c>
      <c r="C5" s="1"/>
      <c r="D5" s="1"/>
      <c r="E5" s="1"/>
      <c r="F5" s="10"/>
      <c r="G5" s="10"/>
      <c r="H5" s="10"/>
      <c r="I5" s="10"/>
      <c r="J5" s="10"/>
      <c r="K5" s="10"/>
      <c r="L5" s="10"/>
      <c r="M5" s="10"/>
    </row>
    <row r="7" spans="1:13" ht="15.75">
      <c r="A7" s="163" t="s">
        <v>518</v>
      </c>
      <c r="B7" s="40"/>
      <c r="C7" s="40"/>
      <c r="D7" s="40"/>
      <c r="E7" s="40"/>
      <c r="F7" s="41"/>
      <c r="G7" s="40"/>
      <c r="H7" s="40"/>
      <c r="I7" s="40"/>
      <c r="J7" s="40"/>
      <c r="K7" s="40"/>
      <c r="L7" s="40"/>
      <c r="M7" s="40"/>
    </row>
    <row r="8" spans="1:13" ht="15.75">
      <c r="A8" s="1" t="s">
        <v>527</v>
      </c>
      <c r="B8" s="1"/>
      <c r="C8" s="1"/>
      <c r="D8" s="1"/>
      <c r="E8" s="1"/>
      <c r="F8" s="1"/>
      <c r="G8" s="1"/>
      <c r="H8" s="1"/>
      <c r="I8" s="1"/>
      <c r="J8" s="1"/>
      <c r="K8" s="2"/>
      <c r="L8" s="2"/>
      <c r="M8" s="2"/>
    </row>
    <row r="9" spans="1:13" ht="15.75">
      <c r="A9" s="1" t="s">
        <v>526</v>
      </c>
      <c r="B9" s="10"/>
      <c r="C9" s="10"/>
      <c r="D9" s="10"/>
      <c r="E9" s="10"/>
      <c r="F9" s="1"/>
      <c r="G9" s="10"/>
      <c r="H9" s="10"/>
      <c r="I9" s="10"/>
      <c r="J9" s="10"/>
      <c r="K9" s="10"/>
      <c r="L9" s="2"/>
      <c r="M9" s="2"/>
    </row>
    <row r="10" spans="1:13" ht="15.75">
      <c r="A10" s="1" t="s">
        <v>522</v>
      </c>
      <c r="B10" s="10"/>
      <c r="C10" s="10"/>
      <c r="D10" s="10"/>
      <c r="E10" s="10"/>
      <c r="F10" s="1"/>
      <c r="G10" s="10"/>
      <c r="H10" s="10"/>
      <c r="I10" s="10"/>
      <c r="J10" s="10"/>
      <c r="K10" s="10"/>
      <c r="L10" s="2"/>
      <c r="M10" s="2"/>
    </row>
    <row r="11" spans="1:13" ht="15.75">
      <c r="A11" s="1"/>
      <c r="B11" s="10"/>
      <c r="C11" s="10"/>
      <c r="D11" s="10"/>
      <c r="E11" s="10"/>
      <c r="F11" s="1"/>
      <c r="G11" s="10"/>
      <c r="H11" s="10"/>
      <c r="I11" s="10"/>
      <c r="J11" s="10"/>
      <c r="K11" s="2"/>
      <c r="L11" s="2"/>
      <c r="M11" s="2"/>
    </row>
    <row r="12" spans="1:13" ht="15.75">
      <c r="A12" s="39"/>
      <c r="B12" s="10"/>
      <c r="C12" s="10"/>
      <c r="D12" s="10"/>
      <c r="E12" s="10"/>
      <c r="F12" s="1"/>
      <c r="G12" s="10"/>
      <c r="H12" s="10"/>
      <c r="I12" s="10"/>
      <c r="J12" s="10"/>
      <c r="K12" s="10"/>
      <c r="L12" s="10"/>
      <c r="M12" s="10"/>
    </row>
    <row r="14" spans="1:13" ht="15.75">
      <c r="A14" s="163" t="s">
        <v>519</v>
      </c>
      <c r="B14" s="40"/>
      <c r="C14" s="40"/>
      <c r="D14" s="40"/>
      <c r="E14" s="40"/>
      <c r="F14" s="41"/>
      <c r="G14" s="40"/>
      <c r="H14" s="40"/>
      <c r="I14" s="40"/>
      <c r="J14" s="40"/>
      <c r="K14" s="40"/>
      <c r="L14" s="40"/>
      <c r="M14" s="40"/>
    </row>
    <row r="15" spans="1:13" ht="15.75">
      <c r="A15" s="1" t="s">
        <v>525</v>
      </c>
    </row>
    <row r="16" spans="1:13" ht="15.75">
      <c r="A16" s="1" t="s">
        <v>523</v>
      </c>
    </row>
    <row r="17" spans="1:3" ht="15.75">
      <c r="A17" s="1" t="s">
        <v>524</v>
      </c>
    </row>
    <row r="18" spans="1:3" ht="15.75">
      <c r="A18" s="1"/>
    </row>
    <row r="22" spans="1:3">
      <c r="A22" s="44" t="s">
        <v>10</v>
      </c>
      <c r="B22" s="44"/>
      <c r="C22" s="45" t="s">
        <v>11</v>
      </c>
    </row>
    <row r="23" spans="1:3" ht="15.75">
      <c r="A23" s="1" t="s">
        <v>318</v>
      </c>
      <c r="B23" s="1"/>
      <c r="C23" s="16" t="s">
        <v>319</v>
      </c>
    </row>
    <row r="24" spans="1:3" ht="15.75">
      <c r="A24" s="1" t="s">
        <v>320</v>
      </c>
      <c r="B24" s="1"/>
      <c r="C24" s="16" t="s">
        <v>44</v>
      </c>
    </row>
    <row r="25" spans="1:3" ht="15.75">
      <c r="A25" s="1" t="s">
        <v>321</v>
      </c>
      <c r="B25" s="1"/>
      <c r="C25" s="16" t="s">
        <v>52</v>
      </c>
    </row>
    <row r="26" spans="1:3" ht="15.75">
      <c r="A26" s="1" t="s">
        <v>322</v>
      </c>
      <c r="B26" s="1"/>
      <c r="C26" s="16" t="s">
        <v>99</v>
      </c>
    </row>
    <row r="27" spans="1:3" ht="15.75">
      <c r="A27" s="1" t="s">
        <v>323</v>
      </c>
      <c r="B27" s="1"/>
      <c r="C27" s="16" t="s">
        <v>99</v>
      </c>
    </row>
    <row r="28" spans="1:3" ht="15.75">
      <c r="A28" s="1"/>
      <c r="B28" s="1"/>
      <c r="C28" s="16"/>
    </row>
    <row r="29" spans="1:3">
      <c r="A29" s="44" t="s">
        <v>42</v>
      </c>
      <c r="B29" s="53" t="s">
        <v>31</v>
      </c>
      <c r="C29" s="45" t="s">
        <v>11</v>
      </c>
    </row>
    <row r="30" spans="1:3">
      <c r="A30" s="46" t="s">
        <v>45</v>
      </c>
      <c r="B30" s="15">
        <v>299800000</v>
      </c>
      <c r="C30" s="16" t="s">
        <v>46</v>
      </c>
    </row>
    <row r="31" spans="1:3">
      <c r="A31" s="46" t="s">
        <v>49</v>
      </c>
      <c r="B31" s="15">
        <v>8.8539999999999992E-12</v>
      </c>
      <c r="C31" s="16" t="s">
        <v>50</v>
      </c>
    </row>
    <row r="32" spans="1:3">
      <c r="A32" s="46" t="s">
        <v>53</v>
      </c>
      <c r="B32" s="15">
        <f>4*PI()*0.0000001</f>
        <v>1.2566370614359173E-6</v>
      </c>
      <c r="C32" s="16" t="s">
        <v>54</v>
      </c>
    </row>
    <row r="34" spans="1:13" ht="21">
      <c r="A34" s="307" t="s">
        <v>517</v>
      </c>
      <c r="B34" s="307"/>
      <c r="C34" s="307"/>
      <c r="D34" s="307"/>
      <c r="E34" s="307"/>
      <c r="F34" s="307"/>
      <c r="G34" s="307"/>
      <c r="H34" s="307"/>
      <c r="I34" s="307"/>
      <c r="J34" s="307"/>
      <c r="K34" s="307"/>
      <c r="L34" s="307"/>
      <c r="M34" s="307"/>
    </row>
    <row r="35" spans="1:13" ht="15.75">
      <c r="A35" s="44" t="s">
        <v>30</v>
      </c>
      <c r="B35" s="45" t="s">
        <v>31</v>
      </c>
      <c r="C35" s="53" t="s">
        <v>11</v>
      </c>
      <c r="D35" s="45" t="s">
        <v>32</v>
      </c>
      <c r="E35" s="48"/>
      <c r="F35" s="48"/>
      <c r="G35" s="41"/>
      <c r="H35" s="40"/>
      <c r="I35" s="40"/>
      <c r="J35" s="40"/>
      <c r="K35" s="40"/>
      <c r="L35" s="40"/>
      <c r="M35" s="218"/>
    </row>
    <row r="36" spans="1:13" ht="15.75">
      <c r="A36" s="16" t="s">
        <v>324</v>
      </c>
      <c r="B36" s="109" t="s">
        <v>326</v>
      </c>
      <c r="C36" s="55" t="s">
        <v>325</v>
      </c>
      <c r="D36" s="16" t="s">
        <v>327</v>
      </c>
      <c r="E36" s="10"/>
      <c r="F36" s="10"/>
      <c r="G36" s="1"/>
      <c r="H36" s="10"/>
      <c r="I36" s="10"/>
      <c r="J36" s="10"/>
      <c r="K36" s="10"/>
      <c r="L36" s="10"/>
    </row>
    <row r="37" spans="1:13" ht="15.75">
      <c r="A37" s="46" t="s">
        <v>103</v>
      </c>
      <c r="B37" s="110" t="s">
        <v>101</v>
      </c>
      <c r="C37" s="55" t="s">
        <v>102</v>
      </c>
      <c r="D37" s="16" t="s">
        <v>536</v>
      </c>
      <c r="E37" s="10"/>
      <c r="F37" s="10"/>
      <c r="G37" s="1"/>
      <c r="H37" s="10"/>
      <c r="I37" s="10"/>
      <c r="J37" s="10"/>
      <c r="K37" s="10"/>
      <c r="L37" s="10"/>
    </row>
    <row r="38" spans="1:13" ht="15.75">
      <c r="A38" s="46" t="s">
        <v>100</v>
      </c>
      <c r="B38" s="110" t="s">
        <v>101</v>
      </c>
      <c r="C38" s="55" t="s">
        <v>102</v>
      </c>
      <c r="D38" s="16" t="s">
        <v>537</v>
      </c>
    </row>
    <row r="40" spans="1:13">
      <c r="A40" s="219" t="s">
        <v>330</v>
      </c>
      <c r="B40" s="220" t="s">
        <v>333</v>
      </c>
      <c r="C40" s="221"/>
    </row>
    <row r="41" spans="1:13">
      <c r="A41" s="222" t="s">
        <v>96</v>
      </c>
      <c r="B41" s="223" t="s">
        <v>235</v>
      </c>
      <c r="C41" s="223" t="s">
        <v>332</v>
      </c>
    </row>
    <row r="42" spans="1:13">
      <c r="A42" s="224">
        <v>10</v>
      </c>
      <c r="B42" s="225">
        <f t="shared" ref="B42:B52" si="0">1/(2*PI()*A42*SQRT(($B$37*$B$32*$B$38*$B$31)/2)*SQRT(SQRT(1+$B$36*$B$36/(2*2*PI()*PI()*A42*A42*$B$38*$B$38*$B$31*$B$31))-1))*1000</f>
        <v>20.898067849388923</v>
      </c>
      <c r="C42" s="225">
        <f t="shared" ref="C42:C52" si="1">1/(2*PI()*A42*SQRT(($B$37*$B$32*$B$38*$B$31)/2)*SQRT(SQRT(1+$B$36*$B$36/(2*2*PI()*PI()*A42*A42*$B$38*$B$38*$B$31*$B$31))-1))*1000000</f>
        <v>20898.067849388925</v>
      </c>
    </row>
    <row r="43" spans="1:13" ht="15.75">
      <c r="A43" s="226">
        <v>100</v>
      </c>
      <c r="B43" s="225">
        <f t="shared" si="0"/>
        <v>6.608549310080563</v>
      </c>
      <c r="C43" s="225">
        <f t="shared" si="1"/>
        <v>6608.5493100805625</v>
      </c>
      <c r="D43" s="1"/>
      <c r="E43" s="46"/>
      <c r="F43" s="10"/>
      <c r="G43" s="10"/>
      <c r="H43" s="1"/>
      <c r="I43" s="10"/>
      <c r="J43" s="10"/>
      <c r="K43" s="10"/>
      <c r="L43" s="10"/>
      <c r="M43" s="10"/>
    </row>
    <row r="44" spans="1:13">
      <c r="A44" s="226">
        <v>1000</v>
      </c>
      <c r="B44" s="225">
        <f t="shared" si="0"/>
        <v>2.0898067849388928</v>
      </c>
      <c r="C44" s="225">
        <f t="shared" si="1"/>
        <v>2089.8067849388931</v>
      </c>
    </row>
    <row r="45" spans="1:13">
      <c r="A45" s="226">
        <f t="shared" ref="A45:A51" si="2">A44*10</f>
        <v>10000</v>
      </c>
      <c r="B45" s="225">
        <f t="shared" si="0"/>
        <v>0.66085493100805948</v>
      </c>
      <c r="C45" s="225">
        <f t="shared" si="1"/>
        <v>660.85493100805945</v>
      </c>
    </row>
    <row r="46" spans="1:13">
      <c r="A46" s="226">
        <f t="shared" si="2"/>
        <v>100000</v>
      </c>
      <c r="B46" s="225">
        <f t="shared" si="0"/>
        <v>0.20898067849389926</v>
      </c>
      <c r="C46" s="225">
        <f t="shared" si="1"/>
        <v>208.98067849389926</v>
      </c>
    </row>
    <row r="47" spans="1:13">
      <c r="A47" s="226">
        <f t="shared" si="2"/>
        <v>1000000</v>
      </c>
      <c r="B47" s="225">
        <f t="shared" si="0"/>
        <v>6.6085493100837334E-2</v>
      </c>
      <c r="C47" s="225">
        <f t="shared" si="1"/>
        <v>66.085493100837326</v>
      </c>
      <c r="H47" s="227"/>
      <c r="I47" s="96"/>
    </row>
    <row r="48" spans="1:13">
      <c r="A48" s="226">
        <f t="shared" si="2"/>
        <v>10000000</v>
      </c>
      <c r="B48" s="225">
        <f t="shared" si="0"/>
        <v>2.0898067849489145E-2</v>
      </c>
      <c r="C48" s="225">
        <f t="shared" si="1"/>
        <v>20.898067849489145</v>
      </c>
      <c r="H48" s="228"/>
      <c r="I48" s="228"/>
    </row>
    <row r="49" spans="1:13">
      <c r="A49" s="226">
        <f t="shared" si="2"/>
        <v>100000000</v>
      </c>
      <c r="B49" s="225">
        <f t="shared" si="0"/>
        <v>6.6085493103974977E-3</v>
      </c>
      <c r="C49" s="225">
        <f t="shared" si="1"/>
        <v>6.6085493103974979</v>
      </c>
    </row>
    <row r="50" spans="1:13">
      <c r="A50" s="226">
        <f t="shared" si="2"/>
        <v>1000000000</v>
      </c>
      <c r="B50" s="225">
        <f t="shared" si="0"/>
        <v>2.0898067859411226E-3</v>
      </c>
      <c r="C50" s="225">
        <f t="shared" si="1"/>
        <v>2.0898067859411227</v>
      </c>
      <c r="H50" s="89"/>
      <c r="I50" s="89"/>
    </row>
    <row r="51" spans="1:13">
      <c r="A51" s="226">
        <f t="shared" si="2"/>
        <v>10000000000</v>
      </c>
      <c r="B51" s="225">
        <f t="shared" si="0"/>
        <v>6.6085493417738692E-4</v>
      </c>
      <c r="C51" s="225">
        <f t="shared" si="1"/>
        <v>0.66085493417738694</v>
      </c>
      <c r="H51" s="229"/>
      <c r="I51" s="229"/>
    </row>
    <row r="52" spans="1:13">
      <c r="A52" s="226">
        <v>100000000000</v>
      </c>
      <c r="B52" s="225">
        <f t="shared" si="0"/>
        <v>2.0898068851619254E-4</v>
      </c>
      <c r="C52" s="225">
        <f t="shared" si="1"/>
        <v>0.20898068851619253</v>
      </c>
      <c r="H52" s="229"/>
      <c r="I52" s="229"/>
    </row>
    <row r="53" spans="1:13">
      <c r="H53" s="229"/>
      <c r="I53" s="229"/>
    </row>
    <row r="54" spans="1:13">
      <c r="H54" s="229"/>
      <c r="I54" s="229"/>
    </row>
    <row r="55" spans="1:13">
      <c r="H55" s="229"/>
      <c r="I55" s="229"/>
    </row>
    <row r="56" spans="1:13">
      <c r="H56" s="229"/>
      <c r="I56" s="229"/>
    </row>
    <row r="57" spans="1:13">
      <c r="H57" s="229"/>
      <c r="I57" s="229"/>
    </row>
    <row r="58" spans="1:13">
      <c r="H58" s="229"/>
      <c r="I58" s="229"/>
    </row>
    <row r="59" spans="1:13">
      <c r="I59" s="88"/>
    </row>
    <row r="60" spans="1:13" ht="21">
      <c r="A60" s="308" t="s">
        <v>558</v>
      </c>
      <c r="B60" s="308"/>
      <c r="C60" s="308"/>
      <c r="D60" s="308"/>
      <c r="E60" s="308"/>
      <c r="F60" s="308"/>
      <c r="G60" s="308"/>
      <c r="H60" s="308"/>
      <c r="I60" s="308"/>
      <c r="J60" s="308"/>
      <c r="K60" s="308"/>
      <c r="L60" s="308"/>
      <c r="M60" s="308"/>
    </row>
    <row r="61" spans="1:13" ht="15.75">
      <c r="A61" s="1" t="s">
        <v>538</v>
      </c>
    </row>
    <row r="62" spans="1:13" ht="15.75">
      <c r="A62" s="50" t="s">
        <v>554</v>
      </c>
      <c r="B62" s="76"/>
      <c r="C62" s="76"/>
      <c r="D62" s="76"/>
      <c r="E62" s="76"/>
      <c r="F62" s="76"/>
      <c r="G62" s="76"/>
      <c r="H62" s="76"/>
      <c r="I62" s="76"/>
      <c r="J62" s="76"/>
      <c r="K62" s="76"/>
      <c r="L62" s="76"/>
      <c r="M62" s="76"/>
    </row>
    <row r="63" spans="1:13" ht="15.75">
      <c r="A63" s="125" t="s">
        <v>30</v>
      </c>
      <c r="B63" s="57" t="s">
        <v>31</v>
      </c>
      <c r="C63" s="56" t="s">
        <v>11</v>
      </c>
      <c r="D63" s="57" t="s">
        <v>32</v>
      </c>
      <c r="E63" s="51"/>
      <c r="F63" s="51"/>
      <c r="G63" s="50"/>
      <c r="H63" s="17"/>
      <c r="I63" s="17"/>
      <c r="J63" s="17"/>
      <c r="K63" s="17"/>
      <c r="L63" s="17"/>
      <c r="M63" s="76"/>
    </row>
    <row r="64" spans="1:13" ht="15.75">
      <c r="A64" s="16" t="s">
        <v>324</v>
      </c>
      <c r="B64" s="109" t="s">
        <v>326</v>
      </c>
      <c r="C64" s="55" t="s">
        <v>325</v>
      </c>
      <c r="D64" s="16" t="s">
        <v>327</v>
      </c>
      <c r="E64" s="10"/>
      <c r="F64" s="10"/>
      <c r="G64" s="1"/>
      <c r="H64" s="10"/>
      <c r="I64" s="10"/>
      <c r="J64" s="10"/>
      <c r="K64" s="10"/>
      <c r="L64" s="10"/>
    </row>
    <row r="65" spans="1:12" ht="15" customHeight="1">
      <c r="A65" s="46" t="s">
        <v>103</v>
      </c>
      <c r="B65" s="110" t="s">
        <v>101</v>
      </c>
      <c r="C65" s="55" t="s">
        <v>102</v>
      </c>
      <c r="D65" s="16" t="s">
        <v>328</v>
      </c>
      <c r="E65" s="10"/>
      <c r="F65" s="10"/>
      <c r="G65" s="1"/>
      <c r="H65" s="10"/>
      <c r="I65" s="10"/>
      <c r="J65" s="10"/>
      <c r="K65" s="10"/>
      <c r="L65" s="10"/>
    </row>
    <row r="66" spans="1:12" ht="15.75">
      <c r="A66" s="46" t="s">
        <v>100</v>
      </c>
      <c r="B66" s="110">
        <v>1</v>
      </c>
      <c r="C66" s="55" t="s">
        <v>102</v>
      </c>
      <c r="D66" s="16" t="s">
        <v>331</v>
      </c>
    </row>
    <row r="67" spans="1:12" ht="11.45" customHeight="1">
      <c r="A67" s="46" t="s">
        <v>329</v>
      </c>
      <c r="B67" s="110" t="s">
        <v>101</v>
      </c>
      <c r="C67" s="55" t="s">
        <v>235</v>
      </c>
      <c r="D67" s="16" t="s">
        <v>540</v>
      </c>
      <c r="E67" s="10"/>
      <c r="F67" s="10"/>
      <c r="G67" s="1"/>
      <c r="H67" s="10"/>
      <c r="I67" s="10"/>
      <c r="J67" s="10"/>
      <c r="K67" s="10"/>
      <c r="L67" s="10"/>
    </row>
    <row r="68" spans="1:12" ht="8.4499999999999993" customHeight="1">
      <c r="A68" s="230" t="s">
        <v>529</v>
      </c>
      <c r="B68" s="231" t="s">
        <v>528</v>
      </c>
      <c r="C68" s="232" t="s">
        <v>530</v>
      </c>
      <c r="D68" s="125" t="s">
        <v>531</v>
      </c>
      <c r="E68" s="233" t="s">
        <v>532</v>
      </c>
      <c r="F68" s="233" t="s">
        <v>533</v>
      </c>
      <c r="G68" s="233" t="s">
        <v>534</v>
      </c>
      <c r="H68" s="233" t="s">
        <v>535</v>
      </c>
    </row>
    <row r="69" spans="1:12" ht="8.4499999999999993" customHeight="1">
      <c r="A69" s="224">
        <v>10</v>
      </c>
      <c r="B69" s="225">
        <f t="shared" ref="B69:B99" si="3">1/(2*PI()*A69*SQRT(($B$65*$B$32*$B$66*$B$31)/2)*SQRT(SQRT(1+$B$64*$B$64/(2*2*PI()*PI()*A69*A69*$B$66*$B$66*$B$31*$B$31))-1))*1000</f>
        <v>20.898067849388923</v>
      </c>
      <c r="C69" s="234">
        <f t="shared" ref="C69:C99" si="4">B69*(1-EXP(-$B$67/(2*B69)))</f>
        <v>0.49406600490573716</v>
      </c>
      <c r="D69" s="234">
        <f t="shared" ref="D69:D99" si="5">0.62006*$B$67/(2*B69)</f>
        <v>1.4835342780699486E-2</v>
      </c>
      <c r="E69" s="234">
        <f t="shared" ref="E69:E99" si="6">0.189774/((1+0.272481*(D69^1.82938-D69^-0.99457)^2)^1.0941)</f>
        <v>8.2376275845396531E-5</v>
      </c>
      <c r="F69" s="234">
        <f t="shared" ref="F69:F99" si="7">PI()*($B$67*C69-C69^2)*(1+E69)</f>
        <v>0.78535222976450125</v>
      </c>
      <c r="G69" s="234">
        <f t="shared" ref="G69:G99" si="8">F69/1000000</f>
        <v>7.853522297645013E-7</v>
      </c>
      <c r="H69" s="234">
        <f t="shared" ref="H69:H99" si="9">1/(G69*$B$64)</f>
        <v>2.195368989467935E-2</v>
      </c>
    </row>
    <row r="70" spans="1:12" ht="8.4499999999999993" customHeight="1">
      <c r="A70" s="224">
        <v>20</v>
      </c>
      <c r="B70" s="225">
        <f t="shared" si="3"/>
        <v>14.777165489999478</v>
      </c>
      <c r="C70" s="234">
        <f t="shared" si="4"/>
        <v>0.49163560746783325</v>
      </c>
      <c r="D70" s="234">
        <f t="shared" si="5"/>
        <v>2.0980342962918997E-2</v>
      </c>
      <c r="E70" s="234">
        <f t="shared" si="6"/>
        <v>1.7497791028449366E-4</v>
      </c>
      <c r="F70" s="234">
        <f t="shared" si="7"/>
        <v>0.78531575682451393</v>
      </c>
      <c r="G70" s="234">
        <f t="shared" si="8"/>
        <v>7.8531575682451395E-7</v>
      </c>
      <c r="H70" s="234">
        <f t="shared" si="9"/>
        <v>2.1954709504444048E-2</v>
      </c>
    </row>
    <row r="71" spans="1:12" ht="8.4499999999999993" customHeight="1">
      <c r="A71" s="224">
        <v>50</v>
      </c>
      <c r="B71" s="225">
        <f t="shared" si="3"/>
        <v>9.3459000619272921</v>
      </c>
      <c r="C71" s="234">
        <f t="shared" si="4"/>
        <v>0.48686051038789574</v>
      </c>
      <c r="D71" s="234">
        <f t="shared" si="5"/>
        <v>3.317283492715481E-2</v>
      </c>
      <c r="E71" s="234">
        <f t="shared" si="6"/>
        <v>4.7300262999370996E-4</v>
      </c>
      <c r="F71" s="234">
        <f t="shared" si="7"/>
        <v>0.78522701825168506</v>
      </c>
      <c r="G71" s="234">
        <f t="shared" si="8"/>
        <v>7.8522701825168502E-7</v>
      </c>
      <c r="H71" s="234">
        <f t="shared" si="9"/>
        <v>2.1957190608052322E-2</v>
      </c>
    </row>
    <row r="72" spans="1:12" ht="8.4499999999999993" customHeight="1">
      <c r="A72" s="226">
        <v>100</v>
      </c>
      <c r="B72" s="225">
        <f t="shared" si="3"/>
        <v>6.608549310080563</v>
      </c>
      <c r="C72" s="234">
        <f t="shared" si="4"/>
        <v>0.4815532501902603</v>
      </c>
      <c r="D72" s="234">
        <f t="shared" si="5"/>
        <v>4.691347305634623E-2</v>
      </c>
      <c r="E72" s="234">
        <f t="shared" si="6"/>
        <v>1.0013176907467719E-3</v>
      </c>
      <c r="F72" s="234">
        <f t="shared" si="7"/>
        <v>0.78511449678594381</v>
      </c>
      <c r="G72" s="234">
        <f t="shared" si="8"/>
        <v>7.8511449678594384E-7</v>
      </c>
      <c r="H72" s="234">
        <f t="shared" si="9"/>
        <v>2.1960337480617903E-2</v>
      </c>
    </row>
    <row r="73" spans="1:12" ht="8.4499999999999993" customHeight="1">
      <c r="A73" s="226">
        <v>200</v>
      </c>
      <c r="B73" s="225">
        <f t="shared" si="3"/>
        <v>4.672950030963646</v>
      </c>
      <c r="C73" s="234">
        <f t="shared" si="4"/>
        <v>0.4741793798919271</v>
      </c>
      <c r="D73" s="234">
        <f t="shared" si="5"/>
        <v>6.6345669854309619E-2</v>
      </c>
      <c r="E73" s="234">
        <f t="shared" si="6"/>
        <v>2.1111768015492768E-3</v>
      </c>
      <c r="F73" s="234">
        <f t="shared" si="7"/>
        <v>0.7849573421745476</v>
      </c>
      <c r="G73" s="234">
        <f t="shared" si="8"/>
        <v>7.8495734217454761E-7</v>
      </c>
      <c r="H73" s="234">
        <f t="shared" si="9"/>
        <v>2.1964734112278596E-2</v>
      </c>
    </row>
    <row r="74" spans="1:12" ht="8.4499999999999993" customHeight="1">
      <c r="A74" s="226">
        <v>500</v>
      </c>
      <c r="B74" s="225">
        <f t="shared" si="3"/>
        <v>2.955433097999896</v>
      </c>
      <c r="C74" s="234">
        <f t="shared" si="4"/>
        <v>0.45999260824407884</v>
      </c>
      <c r="D74" s="234">
        <f t="shared" si="5"/>
        <v>0.10490171481459497</v>
      </c>
      <c r="E74" s="234">
        <f t="shared" si="6"/>
        <v>5.5878579088187979E-3</v>
      </c>
      <c r="F74" s="234">
        <f t="shared" si="7"/>
        <v>0.78473035254890222</v>
      </c>
      <c r="G74" s="234">
        <f t="shared" si="8"/>
        <v>7.847303525489022E-7</v>
      </c>
      <c r="H74" s="234">
        <f t="shared" si="9"/>
        <v>2.1971087589950707E-2</v>
      </c>
    </row>
    <row r="75" spans="1:12" ht="8.4499999999999993" customHeight="1">
      <c r="A75" s="226">
        <v>1000</v>
      </c>
      <c r="B75" s="225">
        <f t="shared" si="3"/>
        <v>2.0898067849388928</v>
      </c>
      <c r="C75" s="234">
        <f t="shared" si="4"/>
        <v>0.44468396188974618</v>
      </c>
      <c r="D75" s="234">
        <f t="shared" si="5"/>
        <v>0.14835342780699481</v>
      </c>
      <c r="E75" s="234">
        <f t="shared" si="6"/>
        <v>1.145203643464731E-2</v>
      </c>
      <c r="F75" s="234">
        <f t="shared" si="7"/>
        <v>0.78466963862187966</v>
      </c>
      <c r="G75" s="234">
        <f t="shared" si="8"/>
        <v>7.8466963862187969E-7</v>
      </c>
      <c r="H75" s="234">
        <f t="shared" si="9"/>
        <v>2.1972787606037582E-2</v>
      </c>
    </row>
    <row r="76" spans="1:12" ht="8.4499999999999993" customHeight="1">
      <c r="A76" s="226">
        <v>2000</v>
      </c>
      <c r="B76" s="225">
        <f t="shared" si="3"/>
        <v>1.4777165489999491</v>
      </c>
      <c r="C76" s="234">
        <f t="shared" si="4"/>
        <v>0.42419528300900816</v>
      </c>
      <c r="D76" s="234">
        <f t="shared" si="5"/>
        <v>0.20980342962918977</v>
      </c>
      <c r="E76" s="234">
        <f t="shared" si="6"/>
        <v>2.2791137346047631E-2</v>
      </c>
      <c r="F76" s="234">
        <f t="shared" si="7"/>
        <v>0.78483413206163166</v>
      </c>
      <c r="G76" s="234">
        <f t="shared" si="8"/>
        <v>7.8483413206163163E-7</v>
      </c>
      <c r="H76" s="234">
        <f t="shared" si="9"/>
        <v>2.1968182327971042E-2</v>
      </c>
    </row>
    <row r="77" spans="1:12" ht="8.4499999999999993" customHeight="1">
      <c r="A77" s="226">
        <v>5000</v>
      </c>
      <c r="B77" s="225">
        <f t="shared" si="3"/>
        <v>0.93459000619273147</v>
      </c>
      <c r="C77" s="234">
        <f t="shared" si="4"/>
        <v>0.38722602970752507</v>
      </c>
      <c r="D77" s="234">
        <f t="shared" si="5"/>
        <v>0.33172834927154732</v>
      </c>
      <c r="E77" s="234">
        <f t="shared" si="6"/>
        <v>5.2535891696225932E-2</v>
      </c>
      <c r="F77" s="234">
        <f t="shared" si="7"/>
        <v>0.78460602569897064</v>
      </c>
      <c r="G77" s="234">
        <f t="shared" si="8"/>
        <v>7.8460602569897065E-7</v>
      </c>
      <c r="H77" s="234">
        <f t="shared" si="9"/>
        <v>2.1974569077500072E-2</v>
      </c>
    </row>
    <row r="78" spans="1:12" ht="8.4499999999999993" customHeight="1">
      <c r="A78" s="226">
        <f>A75*10</f>
        <v>10000</v>
      </c>
      <c r="B78" s="225">
        <f t="shared" si="3"/>
        <v>0.66085493100805948</v>
      </c>
      <c r="C78" s="234">
        <f t="shared" si="4"/>
        <v>0.35074134232697424</v>
      </c>
      <c r="D78" s="234">
        <f t="shared" si="5"/>
        <v>0.46913473056346006</v>
      </c>
      <c r="E78" s="234">
        <f t="shared" si="6"/>
        <v>9.1121216726194054E-2</v>
      </c>
      <c r="F78" s="234">
        <f t="shared" si="7"/>
        <v>0.78059826673644195</v>
      </c>
      <c r="G78" s="234">
        <f t="shared" si="8"/>
        <v>7.8059826673644194E-7</v>
      </c>
      <c r="H78" s="234">
        <f t="shared" si="9"/>
        <v>2.2087391229330178E-2</v>
      </c>
    </row>
    <row r="79" spans="1:12" ht="8.4499999999999993" customHeight="1">
      <c r="A79" s="226">
        <v>20000</v>
      </c>
      <c r="B79" s="225">
        <f t="shared" si="3"/>
        <v>0.46729500309636907</v>
      </c>
      <c r="C79" s="234">
        <f t="shared" si="4"/>
        <v>0.30700689774083373</v>
      </c>
      <c r="D79" s="234">
        <f t="shared" si="5"/>
        <v>0.66345669854308986</v>
      </c>
      <c r="E79" s="234">
        <f t="shared" si="6"/>
        <v>0.14361724843757839</v>
      </c>
      <c r="F79" s="234">
        <f t="shared" si="7"/>
        <v>0.76437700694080069</v>
      </c>
      <c r="G79" s="234">
        <f t="shared" si="8"/>
        <v>7.6437700694080072E-7</v>
      </c>
      <c r="H79" s="234">
        <f t="shared" si="9"/>
        <v>2.2556119759997089E-2</v>
      </c>
    </row>
    <row r="80" spans="1:12" ht="8.4499999999999993" customHeight="1">
      <c r="A80" s="226">
        <v>50000</v>
      </c>
      <c r="B80" s="225">
        <f t="shared" si="3"/>
        <v>0.29554330979999666</v>
      </c>
      <c r="C80" s="234">
        <f t="shared" si="4"/>
        <v>0.24110783939278838</v>
      </c>
      <c r="D80" s="234">
        <f t="shared" si="5"/>
        <v>1.0490171481459245</v>
      </c>
      <c r="E80" s="234">
        <f t="shared" si="6"/>
        <v>0.18870289373505428</v>
      </c>
      <c r="F80" s="234">
        <f t="shared" si="7"/>
        <v>0.68330498717471644</v>
      </c>
      <c r="G80" s="234">
        <f t="shared" si="8"/>
        <v>6.833049871747164E-7</v>
      </c>
      <c r="H80" s="234">
        <f t="shared" si="9"/>
        <v>2.5232333487910468E-2</v>
      </c>
    </row>
    <row r="81" spans="1:8" ht="8.4499999999999993" customHeight="1">
      <c r="A81" s="226">
        <f>A78*10</f>
        <v>100000</v>
      </c>
      <c r="B81" s="225">
        <f t="shared" si="3"/>
        <v>0.20898067849389926</v>
      </c>
      <c r="C81" s="234">
        <f t="shared" si="4"/>
        <v>0.18988091187227296</v>
      </c>
      <c r="D81" s="234">
        <f t="shared" si="5"/>
        <v>1.4835342780698773</v>
      </c>
      <c r="E81" s="234">
        <f t="shared" si="6"/>
        <v>0.11998357846844782</v>
      </c>
      <c r="F81" s="234">
        <f t="shared" si="7"/>
        <v>0.54124226339553871</v>
      </c>
      <c r="G81" s="234">
        <f t="shared" si="8"/>
        <v>5.4124226339553876E-7</v>
      </c>
      <c r="H81" s="234">
        <f t="shared" si="9"/>
        <v>3.1855197711611188E-2</v>
      </c>
    </row>
    <row r="82" spans="1:8" ht="8.4499999999999993" customHeight="1">
      <c r="A82" s="226">
        <v>200000</v>
      </c>
      <c r="B82" s="225">
        <f t="shared" si="3"/>
        <v>0.14777165490000896</v>
      </c>
      <c r="C82" s="234">
        <f t="shared" si="4"/>
        <v>0.14275848028194657</v>
      </c>
      <c r="D82" s="234">
        <f t="shared" si="5"/>
        <v>2.098034296291698</v>
      </c>
      <c r="E82" s="234">
        <f t="shared" si="6"/>
        <v>3.9990293942957403E-2</v>
      </c>
      <c r="F82" s="234">
        <f t="shared" si="7"/>
        <v>0.39983818965321694</v>
      </c>
      <c r="G82" s="234">
        <f t="shared" si="8"/>
        <v>3.9983818965321694E-7</v>
      </c>
      <c r="H82" s="234">
        <f t="shared" si="9"/>
        <v>4.3120891791998212E-2</v>
      </c>
    </row>
    <row r="83" spans="1:8" ht="8.4499999999999993" customHeight="1">
      <c r="A83" s="226">
        <v>500000</v>
      </c>
      <c r="B83" s="225">
        <f t="shared" si="3"/>
        <v>9.3459000619295352E-2</v>
      </c>
      <c r="C83" s="234">
        <f t="shared" si="4"/>
        <v>9.3015216328504111E-2</v>
      </c>
      <c r="D83" s="234">
        <f t="shared" si="5"/>
        <v>3.3172834927146848</v>
      </c>
      <c r="E83" s="234">
        <f t="shared" si="6"/>
        <v>6.6274860014292006E-3</v>
      </c>
      <c r="F83" s="234">
        <f t="shared" si="7"/>
        <v>0.26679191160795823</v>
      </c>
      <c r="G83" s="234">
        <f t="shared" si="8"/>
        <v>2.6679191160795823E-7</v>
      </c>
      <c r="H83" s="234">
        <f t="shared" si="9"/>
        <v>6.4624820169512695E-2</v>
      </c>
    </row>
    <row r="84" spans="1:8" ht="8.4499999999999993" customHeight="1">
      <c r="A84" s="226">
        <f>A81*10</f>
        <v>1000000</v>
      </c>
      <c r="B84" s="225">
        <f t="shared" si="3"/>
        <v>6.6085493100837334E-2</v>
      </c>
      <c r="C84" s="234">
        <f t="shared" si="4"/>
        <v>6.6051275248038319E-2</v>
      </c>
      <c r="D84" s="234">
        <f t="shared" si="5"/>
        <v>4.6913473056323722</v>
      </c>
      <c r="E84" s="234">
        <f t="shared" si="6"/>
        <v>1.639607805732868E-3</v>
      </c>
      <c r="F84" s="234">
        <f t="shared" si="7"/>
        <v>0.19411790811806795</v>
      </c>
      <c r="G84" s="234">
        <f t="shared" si="8"/>
        <v>1.9411790811806795E-7</v>
      </c>
      <c r="H84" s="234">
        <f t="shared" si="9"/>
        <v>8.8819107301826766E-2</v>
      </c>
    </row>
    <row r="85" spans="1:8" ht="8.4499999999999993" customHeight="1">
      <c r="A85" s="226">
        <v>2000000</v>
      </c>
      <c r="B85" s="225">
        <f t="shared" si="3"/>
        <v>4.6729500309681288E-2</v>
      </c>
      <c r="C85" s="234">
        <f t="shared" si="4"/>
        <v>4.6728446668536774E-2</v>
      </c>
      <c r="D85" s="234">
        <f t="shared" si="5"/>
        <v>6.6345669854245974</v>
      </c>
      <c r="E85" s="234">
        <f t="shared" si="6"/>
        <v>4.0653737940879399E-4</v>
      </c>
      <c r="F85" s="234">
        <f t="shared" si="7"/>
        <v>0.13999881889069982</v>
      </c>
      <c r="G85" s="234">
        <f t="shared" si="8"/>
        <v>1.3999881889069981E-7</v>
      </c>
      <c r="H85" s="234">
        <f t="shared" si="9"/>
        <v>0.12315374834558822</v>
      </c>
    </row>
    <row r="86" spans="1:8" ht="8.4499999999999993" customHeight="1">
      <c r="A86" s="226">
        <v>5000000</v>
      </c>
      <c r="B86" s="225">
        <f t="shared" si="3"/>
        <v>2.9554330980069824E-2</v>
      </c>
      <c r="C86" s="234">
        <f t="shared" si="4"/>
        <v>2.9554329651973396E-2</v>
      </c>
      <c r="D86" s="234">
        <f t="shared" si="5"/>
        <v>10.490171481434343</v>
      </c>
      <c r="E86" s="234">
        <f t="shared" si="6"/>
        <v>6.467201955597108E-5</v>
      </c>
      <c r="F86" s="234">
        <f t="shared" si="7"/>
        <v>9.0109441602768889E-2</v>
      </c>
      <c r="G86" s="234">
        <f t="shared" si="8"/>
        <v>9.0109441602768883E-8</v>
      </c>
      <c r="H86" s="234">
        <f t="shared" si="9"/>
        <v>0.19133821055456451</v>
      </c>
    </row>
    <row r="87" spans="1:8" ht="8.4499999999999993" customHeight="1">
      <c r="A87" s="226">
        <f>A84*10</f>
        <v>10000000</v>
      </c>
      <c r="B87" s="225">
        <f t="shared" si="3"/>
        <v>2.0898067849489145E-2</v>
      </c>
      <c r="C87" s="234">
        <f t="shared" si="4"/>
        <v>2.0898067848639328E-2</v>
      </c>
      <c r="D87" s="234">
        <f t="shared" si="5"/>
        <v>14.835342780628338</v>
      </c>
      <c r="E87" s="234">
        <f t="shared" si="6"/>
        <v>1.6130616023892785E-5</v>
      </c>
      <c r="F87" s="234">
        <f t="shared" si="7"/>
        <v>6.4282227951333426E-2</v>
      </c>
      <c r="G87" s="234">
        <f t="shared" si="8"/>
        <v>6.428222795133343E-8</v>
      </c>
      <c r="H87" s="234">
        <f t="shared" si="9"/>
        <v>0.26821377945079738</v>
      </c>
    </row>
    <row r="88" spans="1:8" ht="8.4499999999999993" customHeight="1">
      <c r="A88" s="226">
        <v>20000000</v>
      </c>
      <c r="B88" s="225">
        <f t="shared" si="3"/>
        <v>1.4777165490141212E-2</v>
      </c>
      <c r="C88" s="234">
        <f t="shared" si="4"/>
        <v>1.4777165490141183E-2</v>
      </c>
      <c r="D88" s="234">
        <f t="shared" si="5"/>
        <v>20.980342962717764</v>
      </c>
      <c r="E88" s="234">
        <f t="shared" si="6"/>
        <v>4.0262878383196796E-6</v>
      </c>
      <c r="F88" s="234">
        <f t="shared" si="7"/>
        <v>4.5738006012589968E-2</v>
      </c>
      <c r="G88" s="234">
        <f t="shared" si="8"/>
        <v>4.5738006012589971E-8</v>
      </c>
      <c r="H88" s="234">
        <f t="shared" si="9"/>
        <v>0.37695957505447258</v>
      </c>
    </row>
    <row r="89" spans="1:8" ht="8.4499999999999993" customHeight="1">
      <c r="A89" s="226">
        <v>50000000</v>
      </c>
      <c r="B89" s="225">
        <f t="shared" si="3"/>
        <v>9.3459000621513993E-3</v>
      </c>
      <c r="C89" s="234">
        <f t="shared" si="4"/>
        <v>9.3459000621513993E-3</v>
      </c>
      <c r="D89" s="234">
        <f t="shared" si="5"/>
        <v>33.17283492635935</v>
      </c>
      <c r="E89" s="234">
        <f t="shared" si="6"/>
        <v>6.4314828891823673E-7</v>
      </c>
      <c r="F89" s="234">
        <f t="shared" si="7"/>
        <v>2.9086624609130508E-2</v>
      </c>
      <c r="G89" s="234">
        <f t="shared" si="8"/>
        <v>2.9086624609130509E-8</v>
      </c>
      <c r="H89" s="234">
        <f t="shared" si="9"/>
        <v>0.59275971488739299</v>
      </c>
    </row>
    <row r="90" spans="1:8" ht="8.4499999999999993" customHeight="1">
      <c r="A90" s="226">
        <f>A87*10</f>
        <v>100000000</v>
      </c>
      <c r="B90" s="225">
        <f t="shared" si="3"/>
        <v>6.6085493103974977E-3</v>
      </c>
      <c r="C90" s="234">
        <f t="shared" si="4"/>
        <v>6.6085493103974977E-3</v>
      </c>
      <c r="D90" s="234">
        <f t="shared" si="5"/>
        <v>46.913473054096343</v>
      </c>
      <c r="E90" s="234">
        <f t="shared" si="6"/>
        <v>1.6060737207966745E-7</v>
      </c>
      <c r="F90" s="234">
        <f t="shared" si="7"/>
        <v>2.0624170739662658E-2</v>
      </c>
      <c r="G90" s="234">
        <f t="shared" si="8"/>
        <v>2.0624170739662658E-8</v>
      </c>
      <c r="H90" s="234">
        <f t="shared" si="9"/>
        <v>0.83597927538427841</v>
      </c>
    </row>
    <row r="91" spans="1:8" ht="8.4499999999999993" customHeight="1">
      <c r="A91" s="226">
        <v>200000000</v>
      </c>
      <c r="B91" s="225">
        <f t="shared" si="3"/>
        <v>4.6729500314118587E-3</v>
      </c>
      <c r="C91" s="234">
        <f t="shared" si="4"/>
        <v>4.6729500314118587E-3</v>
      </c>
      <c r="D91" s="234">
        <f t="shared" si="5"/>
        <v>66.345669847945985</v>
      </c>
      <c r="E91" s="234">
        <f t="shared" si="6"/>
        <v>4.0108476596483887E-8</v>
      </c>
      <c r="F91" s="234">
        <f t="shared" si="7"/>
        <v>1.4611904806749652E-2</v>
      </c>
      <c r="G91" s="234">
        <f t="shared" si="8"/>
        <v>1.4611904806749651E-8</v>
      </c>
      <c r="H91" s="234">
        <f t="shared" si="9"/>
        <v>1.1799542591038883</v>
      </c>
    </row>
    <row r="92" spans="1:8" ht="8.4499999999999993" customHeight="1">
      <c r="A92" s="226">
        <v>500000000</v>
      </c>
      <c r="B92" s="225">
        <f t="shared" si="3"/>
        <v>2.9554330987085781E-3</v>
      </c>
      <c r="C92" s="234">
        <f t="shared" si="4"/>
        <v>2.9554330987085781E-3</v>
      </c>
      <c r="D92" s="234">
        <f t="shared" si="5"/>
        <v>104.90171478944062</v>
      </c>
      <c r="E92" s="234">
        <f t="shared" si="6"/>
        <v>6.4083288640976871E-9</v>
      </c>
      <c r="F92" s="234">
        <f t="shared" si="7"/>
        <v>9.2573264629601804E-3</v>
      </c>
      <c r="G92" s="234">
        <f t="shared" si="8"/>
        <v>9.2573264629601803E-9</v>
      </c>
      <c r="H92" s="234">
        <f t="shared" si="9"/>
        <v>1.8624577386710868</v>
      </c>
    </row>
    <row r="93" spans="1:8" ht="8.4499999999999993" customHeight="1">
      <c r="A93" s="226">
        <f>A90*10</f>
        <v>1000000000</v>
      </c>
      <c r="B93" s="225">
        <f t="shared" si="3"/>
        <v>2.0898067859411226E-3</v>
      </c>
      <c r="C93" s="234">
        <f t="shared" si="4"/>
        <v>2.0898067859411226E-3</v>
      </c>
      <c r="D93" s="234">
        <f t="shared" si="5"/>
        <v>148.35342773584748</v>
      </c>
      <c r="E93" s="234">
        <f t="shared" si="6"/>
        <v>1.6003859022799046E-9</v>
      </c>
      <c r="F93" s="234">
        <f t="shared" si="7"/>
        <v>6.5516014028918395E-3</v>
      </c>
      <c r="G93" s="234">
        <f t="shared" si="8"/>
        <v>6.5516014028918392E-9</v>
      </c>
      <c r="H93" s="234">
        <f t="shared" si="9"/>
        <v>2.6316282462993827</v>
      </c>
    </row>
    <row r="94" spans="1:8" ht="8.4499999999999993" customHeight="1">
      <c r="A94" s="226">
        <v>2000000000</v>
      </c>
      <c r="B94" s="225">
        <f t="shared" si="3"/>
        <v>1.4777165504173153E-3</v>
      </c>
      <c r="C94" s="234">
        <f t="shared" si="4"/>
        <v>1.4777165504173153E-3</v>
      </c>
      <c r="D94" s="234">
        <f t="shared" si="5"/>
        <v>209.80342942795477</v>
      </c>
      <c r="E94" s="234">
        <f t="shared" si="6"/>
        <v>3.9967348271560404E-10</v>
      </c>
      <c r="F94" s="234">
        <f t="shared" si="7"/>
        <v>4.6355233338612146E-3</v>
      </c>
      <c r="G94" s="234">
        <f t="shared" si="8"/>
        <v>4.6355233338612145E-9</v>
      </c>
      <c r="H94" s="234">
        <f t="shared" si="9"/>
        <v>3.7194029818383885</v>
      </c>
    </row>
    <row r="95" spans="1:8" ht="8.4499999999999993" customHeight="1">
      <c r="A95" s="226">
        <v>5000000000</v>
      </c>
      <c r="B95" s="225">
        <f t="shared" si="3"/>
        <v>9.3459000843378439E-4</v>
      </c>
      <c r="C95" s="234">
        <f t="shared" si="4"/>
        <v>9.3459000843378439E-4</v>
      </c>
      <c r="D95" s="234">
        <f t="shared" si="5"/>
        <v>331.72834847609607</v>
      </c>
      <c r="E95" s="234">
        <f t="shared" si="6"/>
        <v>6.3858455562079094E-11</v>
      </c>
      <c r="F95" s="234">
        <f t="shared" si="7"/>
        <v>2.933357054045196E-3</v>
      </c>
      <c r="G95" s="234">
        <f t="shared" si="8"/>
        <v>2.9333570540451959E-9</v>
      </c>
      <c r="H95" s="234">
        <f t="shared" si="9"/>
        <v>5.8776954160995842</v>
      </c>
    </row>
    <row r="96" spans="1:8" ht="8.4499999999999993" customHeight="1">
      <c r="A96" s="226">
        <f>A93*10</f>
        <v>10000000000</v>
      </c>
      <c r="B96" s="225">
        <f t="shared" si="3"/>
        <v>6.6085493417738692E-4</v>
      </c>
      <c r="C96" s="234">
        <f t="shared" si="4"/>
        <v>6.6085493417738692E-4</v>
      </c>
      <c r="D96" s="234">
        <f t="shared" si="5"/>
        <v>469.13472831358416</v>
      </c>
      <c r="E96" s="234">
        <f t="shared" si="6"/>
        <v>1.5947749723373695E-11</v>
      </c>
      <c r="F96" s="234">
        <f t="shared" si="7"/>
        <v>2.074764980948691E-3</v>
      </c>
      <c r="G96" s="234">
        <f t="shared" si="8"/>
        <v>2.0747649809486908E-9</v>
      </c>
      <c r="H96" s="234">
        <f t="shared" si="9"/>
        <v>8.3100396761377606</v>
      </c>
    </row>
    <row r="97" spans="1:13" ht="8.4499999999999993" customHeight="1">
      <c r="A97" s="226">
        <v>20000000000</v>
      </c>
      <c r="B97" s="225">
        <f t="shared" si="3"/>
        <v>4.6729500757847485E-4</v>
      </c>
      <c r="C97" s="234">
        <f t="shared" si="4"/>
        <v>4.6729500757847485E-4</v>
      </c>
      <c r="D97" s="234">
        <f t="shared" si="5"/>
        <v>663.45669217948</v>
      </c>
      <c r="E97" s="234">
        <f t="shared" si="6"/>
        <v>3.9827261343834203E-12</v>
      </c>
      <c r="F97" s="234">
        <f t="shared" si="7"/>
        <v>1.4673645501746668E-3</v>
      </c>
      <c r="G97" s="234">
        <f t="shared" si="8"/>
        <v>1.4673645501746668E-9</v>
      </c>
      <c r="H97" s="234">
        <f t="shared" si="9"/>
        <v>11.749894944846876</v>
      </c>
    </row>
    <row r="98" spans="1:13" ht="8.4499999999999993" customHeight="1">
      <c r="A98" s="226">
        <v>50000000000</v>
      </c>
      <c r="B98" s="225">
        <f t="shared" si="3"/>
        <v>2.9554331688682803E-4</v>
      </c>
      <c r="C98" s="234">
        <f t="shared" si="4"/>
        <v>2.9554331688682803E-4</v>
      </c>
      <c r="D98" s="234">
        <f t="shared" si="5"/>
        <v>1049.0171229915488</v>
      </c>
      <c r="E98" s="234">
        <f t="shared" si="6"/>
        <v>6.3634659088284827E-13</v>
      </c>
      <c r="F98" s="234">
        <f t="shared" si="7"/>
        <v>9.2820230806235366E-4</v>
      </c>
      <c r="G98" s="234">
        <f t="shared" si="8"/>
        <v>9.2820230806235362E-10</v>
      </c>
      <c r="H98" s="234">
        <f t="shared" si="9"/>
        <v>18.575023096351327</v>
      </c>
    </row>
    <row r="99" spans="1:13" ht="8.4499999999999993" customHeight="1">
      <c r="A99" s="226">
        <v>100000000000</v>
      </c>
      <c r="B99" s="225">
        <f t="shared" si="3"/>
        <v>2.0898068851619254E-4</v>
      </c>
      <c r="C99" s="234">
        <f t="shared" si="4"/>
        <v>2.0898068851619254E-4</v>
      </c>
      <c r="D99" s="234">
        <f t="shared" si="5"/>
        <v>1483.5342069225587</v>
      </c>
      <c r="E99" s="234">
        <f t="shared" si="6"/>
        <v>1.589186264052739E-13</v>
      </c>
      <c r="F99" s="234">
        <f t="shared" si="7"/>
        <v>6.5639499323440361E-4</v>
      </c>
      <c r="G99" s="234">
        <f t="shared" si="8"/>
        <v>6.5639499323440363E-10</v>
      </c>
      <c r="H99" s="234">
        <f t="shared" si="9"/>
        <v>26.266774561133499</v>
      </c>
    </row>
    <row r="101" spans="1:13">
      <c r="A101" s="235"/>
      <c r="B101" s="235"/>
      <c r="C101" s="235"/>
      <c r="D101" s="235"/>
      <c r="E101" s="235"/>
      <c r="F101" s="235"/>
      <c r="G101" s="235"/>
      <c r="H101" s="235"/>
      <c r="I101" s="235"/>
      <c r="J101" s="235"/>
      <c r="K101" s="235"/>
      <c r="L101" s="235"/>
      <c r="M101" s="235"/>
    </row>
    <row r="102" spans="1:13" ht="21">
      <c r="A102" s="308" t="s">
        <v>559</v>
      </c>
      <c r="B102" s="308"/>
      <c r="C102" s="308"/>
      <c r="D102" s="308"/>
      <c r="E102" s="308"/>
      <c r="F102" s="308"/>
      <c r="G102" s="308"/>
      <c r="H102" s="308"/>
      <c r="I102" s="308"/>
      <c r="J102" s="308"/>
      <c r="K102" s="308"/>
      <c r="L102" s="308"/>
      <c r="M102" s="308"/>
    </row>
    <row r="103" spans="1:13" ht="15.75">
      <c r="A103" s="1" t="s">
        <v>538</v>
      </c>
    </row>
    <row r="104" spans="1:13" ht="15.75">
      <c r="A104" s="50" t="s">
        <v>556</v>
      </c>
      <c r="B104" s="76"/>
      <c r="C104" s="76"/>
      <c r="D104" s="76"/>
      <c r="E104" s="76"/>
      <c r="F104" s="76"/>
      <c r="G104" s="76"/>
      <c r="H104" s="76"/>
      <c r="I104" s="76"/>
      <c r="J104" s="76"/>
      <c r="K104" s="76"/>
      <c r="L104" s="76"/>
      <c r="M104" s="76"/>
    </row>
    <row r="105" spans="1:13" ht="15.75">
      <c r="A105" s="125" t="s">
        <v>30</v>
      </c>
      <c r="B105" s="57" t="s">
        <v>31</v>
      </c>
      <c r="C105" s="56" t="s">
        <v>11</v>
      </c>
      <c r="D105" s="57" t="s">
        <v>32</v>
      </c>
      <c r="E105" s="51"/>
      <c r="F105" s="51"/>
      <c r="G105" s="50"/>
      <c r="H105" s="17"/>
      <c r="I105" s="17"/>
      <c r="J105" s="17"/>
      <c r="K105" s="17"/>
      <c r="L105" s="17"/>
      <c r="M105" s="76"/>
    </row>
    <row r="106" spans="1:13" ht="15.75">
      <c r="A106" s="16" t="s">
        <v>324</v>
      </c>
      <c r="B106" s="109" t="s">
        <v>326</v>
      </c>
      <c r="C106" s="55" t="s">
        <v>325</v>
      </c>
      <c r="D106" s="16" t="s">
        <v>327</v>
      </c>
      <c r="E106" s="10"/>
      <c r="F106" s="10"/>
      <c r="G106" s="1"/>
      <c r="H106" s="10"/>
      <c r="I106" s="10"/>
      <c r="J106" s="10"/>
      <c r="K106" s="10"/>
      <c r="L106" s="10"/>
    </row>
    <row r="107" spans="1:13" ht="15.75">
      <c r="A107" s="46" t="s">
        <v>103</v>
      </c>
      <c r="B107" s="110" t="s">
        <v>101</v>
      </c>
      <c r="C107" s="55" t="s">
        <v>102</v>
      </c>
      <c r="D107" s="16" t="s">
        <v>328</v>
      </c>
      <c r="E107" s="10"/>
      <c r="F107" s="10"/>
      <c r="G107" s="1"/>
      <c r="H107" s="10"/>
      <c r="I107" s="10"/>
      <c r="J107" s="10"/>
      <c r="K107" s="10"/>
      <c r="L107" s="10"/>
    </row>
    <row r="108" spans="1:13" s="235" customFormat="1" ht="15.75">
      <c r="A108" s="46" t="s">
        <v>100</v>
      </c>
      <c r="B108" s="110">
        <v>1</v>
      </c>
      <c r="C108" s="55" t="s">
        <v>102</v>
      </c>
      <c r="D108" s="16" t="s">
        <v>331</v>
      </c>
      <c r="E108"/>
      <c r="F108"/>
      <c r="G108"/>
      <c r="H108"/>
      <c r="I108"/>
      <c r="J108"/>
      <c r="K108"/>
      <c r="L108"/>
      <c r="M108"/>
    </row>
    <row r="109" spans="1:13" ht="15.75">
      <c r="A109" s="46" t="s">
        <v>520</v>
      </c>
      <c r="B109" s="110" t="s">
        <v>553</v>
      </c>
      <c r="C109" s="55" t="s">
        <v>235</v>
      </c>
      <c r="D109" s="16" t="s">
        <v>541</v>
      </c>
      <c r="E109" s="10"/>
      <c r="F109" s="10"/>
    </row>
    <row r="110" spans="1:13" ht="15.75">
      <c r="A110" s="46" t="s">
        <v>521</v>
      </c>
      <c r="B110" s="110" t="s">
        <v>547</v>
      </c>
      <c r="C110" s="55" t="s">
        <v>235</v>
      </c>
      <c r="D110" s="16" t="s">
        <v>542</v>
      </c>
      <c r="E110" s="10"/>
    </row>
    <row r="111" spans="1:13" ht="6.6" customHeight="1">
      <c r="A111" s="222" t="s">
        <v>546</v>
      </c>
      <c r="B111" s="234">
        <f>$B$109*$B$110</f>
        <v>8.7500000000000008E-3</v>
      </c>
    </row>
    <row r="112" spans="1:13" ht="6.6" customHeight="1">
      <c r="A112" s="222" t="s">
        <v>545</v>
      </c>
      <c r="B112" s="234">
        <f>1/($B$109/1000*$B$110/1000*$B$64)</f>
        <v>1.9704433497536944</v>
      </c>
    </row>
    <row r="113" spans="1:7" ht="6.6" customHeight="1">
      <c r="A113" s="236" t="s">
        <v>529</v>
      </c>
      <c r="B113" s="237" t="s">
        <v>548</v>
      </c>
      <c r="C113" s="237" t="s">
        <v>551</v>
      </c>
      <c r="D113" s="237" t="s">
        <v>552</v>
      </c>
      <c r="E113" s="237" t="s">
        <v>549</v>
      </c>
      <c r="F113" s="237" t="s">
        <v>550</v>
      </c>
      <c r="G113" s="230" t="s">
        <v>544</v>
      </c>
    </row>
    <row r="114" spans="1:7" ht="6.6" customHeight="1">
      <c r="A114" s="224">
        <v>10</v>
      </c>
      <c r="B114" s="225">
        <f t="shared" ref="B114:B144" si="10">1/(2*PI()*A114*SQRT(($B$107*$B$32*$B$108*$B$31)/2)*SQRT(SQRT(1+$B$106*$B$106/(2*2*PI()*PI()*A114*A114*$B$66*$B$66*$B$31*$B$31))-1))*1000</f>
        <v>20.898067849388923</v>
      </c>
      <c r="C114" s="234">
        <f t="shared" ref="C114:C144" si="11">$B$109-2*B114</f>
        <v>-41.546135698777846</v>
      </c>
      <c r="D114" s="234">
        <f t="shared" ref="D114:D144" si="12">$B$110-2*B114</f>
        <v>-41.761135698777849</v>
      </c>
      <c r="E114">
        <f>IF(OR(C114&lt;0,D114&lt;0),0,C114*D114)</f>
        <v>0</v>
      </c>
      <c r="F114" s="234">
        <f t="shared" ref="F114:F144" si="13">$B$111-E114</f>
        <v>8.7500000000000008E-3</v>
      </c>
      <c r="G114" s="234">
        <f t="shared" ref="G114:G144" si="14">1/(F114/1000000*$B$64)</f>
        <v>1.9704433497536944</v>
      </c>
    </row>
    <row r="115" spans="1:7" ht="6.6" customHeight="1">
      <c r="A115" s="224">
        <v>20</v>
      </c>
      <c r="B115" s="225">
        <f t="shared" si="10"/>
        <v>14.777165489999478</v>
      </c>
      <c r="C115" s="234">
        <f t="shared" si="11"/>
        <v>-29.304330979998955</v>
      </c>
      <c r="D115" s="234">
        <f t="shared" si="12"/>
        <v>-29.519330979998955</v>
      </c>
      <c r="E115">
        <f t="shared" ref="E115:E144" si="15">IF(OR(C115&lt;0,D115&lt;0),0,C115*D115)</f>
        <v>0</v>
      </c>
      <c r="F115" s="234">
        <f t="shared" si="13"/>
        <v>8.7500000000000008E-3</v>
      </c>
      <c r="G115" s="234">
        <f t="shared" si="14"/>
        <v>1.9704433497536944</v>
      </c>
    </row>
    <row r="116" spans="1:7" ht="6.6" customHeight="1">
      <c r="A116" s="224">
        <v>50</v>
      </c>
      <c r="B116" s="225">
        <f t="shared" si="10"/>
        <v>9.3459000619272921</v>
      </c>
      <c r="C116" s="234">
        <f t="shared" si="11"/>
        <v>-18.441800123854584</v>
      </c>
      <c r="D116" s="234">
        <f t="shared" si="12"/>
        <v>-18.656800123854584</v>
      </c>
      <c r="E116">
        <f t="shared" si="15"/>
        <v>0</v>
      </c>
      <c r="F116" s="234">
        <f t="shared" si="13"/>
        <v>8.7500000000000008E-3</v>
      </c>
      <c r="G116" s="234">
        <f t="shared" si="14"/>
        <v>1.9704433497536944</v>
      </c>
    </row>
    <row r="117" spans="1:7" ht="6.6" customHeight="1">
      <c r="A117" s="226">
        <v>100</v>
      </c>
      <c r="B117" s="225">
        <f t="shared" si="10"/>
        <v>6.608549310080563</v>
      </c>
      <c r="C117" s="234">
        <f t="shared" si="11"/>
        <v>-12.967098620161126</v>
      </c>
      <c r="D117" s="234">
        <f t="shared" si="12"/>
        <v>-13.182098620161126</v>
      </c>
      <c r="E117">
        <f t="shared" si="15"/>
        <v>0</v>
      </c>
      <c r="F117" s="234">
        <f t="shared" si="13"/>
        <v>8.7500000000000008E-3</v>
      </c>
      <c r="G117" s="234">
        <f t="shared" si="14"/>
        <v>1.9704433497536944</v>
      </c>
    </row>
    <row r="118" spans="1:7" ht="6.6" customHeight="1">
      <c r="A118" s="226">
        <v>200</v>
      </c>
      <c r="B118" s="225">
        <f t="shared" si="10"/>
        <v>4.672950030963646</v>
      </c>
      <c r="C118" s="234">
        <f t="shared" si="11"/>
        <v>-9.0959000619272921</v>
      </c>
      <c r="D118" s="234">
        <f t="shared" si="12"/>
        <v>-9.3109000619272919</v>
      </c>
      <c r="E118">
        <f t="shared" si="15"/>
        <v>0</v>
      </c>
      <c r="F118" s="234">
        <f t="shared" si="13"/>
        <v>8.7500000000000008E-3</v>
      </c>
      <c r="G118" s="234">
        <f t="shared" si="14"/>
        <v>1.9704433497536944</v>
      </c>
    </row>
    <row r="119" spans="1:7" ht="6.6" customHeight="1">
      <c r="A119" s="226">
        <v>500</v>
      </c>
      <c r="B119" s="225">
        <f t="shared" si="10"/>
        <v>2.955433097999896</v>
      </c>
      <c r="C119" s="234">
        <f t="shared" si="11"/>
        <v>-5.6608661959997919</v>
      </c>
      <c r="D119" s="234">
        <f t="shared" si="12"/>
        <v>-5.8758661959997918</v>
      </c>
      <c r="E119">
        <f t="shared" si="15"/>
        <v>0</v>
      </c>
      <c r="F119" s="234">
        <f t="shared" si="13"/>
        <v>8.7500000000000008E-3</v>
      </c>
      <c r="G119" s="234">
        <f t="shared" si="14"/>
        <v>1.9704433497536944</v>
      </c>
    </row>
    <row r="120" spans="1:7" ht="6.6" customHeight="1">
      <c r="A120" s="226">
        <v>1000</v>
      </c>
      <c r="B120" s="225">
        <f t="shared" si="10"/>
        <v>2.0898067849388928</v>
      </c>
      <c r="C120" s="234">
        <f t="shared" si="11"/>
        <v>-3.9296135698777857</v>
      </c>
      <c r="D120" s="234">
        <f t="shared" si="12"/>
        <v>-4.1446135698777855</v>
      </c>
      <c r="E120">
        <f t="shared" si="15"/>
        <v>0</v>
      </c>
      <c r="F120" s="234">
        <f t="shared" si="13"/>
        <v>8.7500000000000008E-3</v>
      </c>
      <c r="G120" s="234">
        <f t="shared" si="14"/>
        <v>1.9704433497536944</v>
      </c>
    </row>
    <row r="121" spans="1:7" ht="6.6" customHeight="1">
      <c r="A121" s="226">
        <v>2000</v>
      </c>
      <c r="B121" s="225">
        <f t="shared" si="10"/>
        <v>1.4777165489999491</v>
      </c>
      <c r="C121" s="234">
        <f t="shared" si="11"/>
        <v>-2.7054330979998982</v>
      </c>
      <c r="D121" s="234">
        <f t="shared" si="12"/>
        <v>-2.920433097999898</v>
      </c>
      <c r="E121">
        <f t="shared" si="15"/>
        <v>0</v>
      </c>
      <c r="F121" s="234">
        <f t="shared" si="13"/>
        <v>8.7500000000000008E-3</v>
      </c>
      <c r="G121" s="234">
        <f t="shared" si="14"/>
        <v>1.9704433497536944</v>
      </c>
    </row>
    <row r="122" spans="1:7" ht="6.6" customHeight="1">
      <c r="A122" s="226">
        <v>5000</v>
      </c>
      <c r="B122" s="225">
        <f t="shared" si="10"/>
        <v>0.93459000619273147</v>
      </c>
      <c r="C122" s="234">
        <f t="shared" si="11"/>
        <v>-1.6191800123854629</v>
      </c>
      <c r="D122" s="234">
        <f t="shared" si="12"/>
        <v>-1.834180012385463</v>
      </c>
      <c r="E122">
        <f t="shared" si="15"/>
        <v>0</v>
      </c>
      <c r="F122" s="234">
        <f t="shared" si="13"/>
        <v>8.7500000000000008E-3</v>
      </c>
      <c r="G122" s="234">
        <f t="shared" si="14"/>
        <v>1.9704433497536944</v>
      </c>
    </row>
    <row r="123" spans="1:7" ht="6.6" customHeight="1">
      <c r="A123" s="226">
        <f>A120*10</f>
        <v>10000</v>
      </c>
      <c r="B123" s="225">
        <f t="shared" si="10"/>
        <v>0.66085493100805948</v>
      </c>
      <c r="C123" s="234">
        <f t="shared" si="11"/>
        <v>-1.071709862016119</v>
      </c>
      <c r="D123" s="234">
        <f t="shared" si="12"/>
        <v>-1.286709862016119</v>
      </c>
      <c r="E123">
        <f t="shared" si="15"/>
        <v>0</v>
      </c>
      <c r="F123" s="234">
        <f t="shared" si="13"/>
        <v>8.7500000000000008E-3</v>
      </c>
      <c r="G123" s="234">
        <f t="shared" si="14"/>
        <v>1.9704433497536944</v>
      </c>
    </row>
    <row r="124" spans="1:7" ht="6.6" customHeight="1">
      <c r="A124" s="226">
        <v>20000</v>
      </c>
      <c r="B124" s="225">
        <f t="shared" si="10"/>
        <v>0.46729500309636907</v>
      </c>
      <c r="C124" s="234">
        <f t="shared" si="11"/>
        <v>-0.68459000619273813</v>
      </c>
      <c r="D124" s="234">
        <f t="shared" si="12"/>
        <v>-0.8995900061927381</v>
      </c>
      <c r="E124">
        <f t="shared" si="15"/>
        <v>0</v>
      </c>
      <c r="F124" s="234">
        <f t="shared" si="13"/>
        <v>8.7500000000000008E-3</v>
      </c>
      <c r="G124" s="234">
        <f t="shared" si="14"/>
        <v>1.9704433497536944</v>
      </c>
    </row>
    <row r="125" spans="1:7" ht="6.6" customHeight="1">
      <c r="A125" s="226">
        <v>50000</v>
      </c>
      <c r="B125" s="225">
        <f t="shared" si="10"/>
        <v>0.29554330979999666</v>
      </c>
      <c r="C125" s="234">
        <f t="shared" si="11"/>
        <v>-0.34108661959999331</v>
      </c>
      <c r="D125" s="234">
        <f t="shared" si="12"/>
        <v>-0.55608661959999328</v>
      </c>
      <c r="E125">
        <f t="shared" si="15"/>
        <v>0</v>
      </c>
      <c r="F125" s="234">
        <f t="shared" si="13"/>
        <v>8.7500000000000008E-3</v>
      </c>
      <c r="G125" s="234">
        <f t="shared" si="14"/>
        <v>1.9704433497536944</v>
      </c>
    </row>
    <row r="126" spans="1:7" ht="6.6" customHeight="1">
      <c r="A126" s="226">
        <f>A123*10</f>
        <v>100000</v>
      </c>
      <c r="B126" s="225">
        <f t="shared" si="10"/>
        <v>0.20898067849389926</v>
      </c>
      <c r="C126" s="234">
        <f t="shared" si="11"/>
        <v>-0.16796135698779852</v>
      </c>
      <c r="D126" s="234">
        <f t="shared" si="12"/>
        <v>-0.38296135698779854</v>
      </c>
      <c r="E126">
        <f t="shared" si="15"/>
        <v>0</v>
      </c>
      <c r="F126" s="234">
        <f t="shared" si="13"/>
        <v>8.7500000000000008E-3</v>
      </c>
      <c r="G126" s="234">
        <f t="shared" si="14"/>
        <v>1.9704433497536944</v>
      </c>
    </row>
    <row r="127" spans="1:7" ht="6.6" customHeight="1">
      <c r="A127" s="226">
        <v>200000</v>
      </c>
      <c r="B127" s="225">
        <f t="shared" si="10"/>
        <v>0.14777165490000896</v>
      </c>
      <c r="C127" s="234">
        <f t="shared" si="11"/>
        <v>-4.5543309800017917E-2</v>
      </c>
      <c r="D127" s="234">
        <f t="shared" si="12"/>
        <v>-0.26054330980001794</v>
      </c>
      <c r="E127">
        <f t="shared" si="15"/>
        <v>0</v>
      </c>
      <c r="F127" s="234">
        <f t="shared" si="13"/>
        <v>8.7500000000000008E-3</v>
      </c>
      <c r="G127" s="234">
        <f t="shared" si="14"/>
        <v>1.9704433497536944</v>
      </c>
    </row>
    <row r="128" spans="1:7" ht="6.6" customHeight="1">
      <c r="A128" s="226">
        <v>500000</v>
      </c>
      <c r="B128" s="225">
        <f t="shared" si="10"/>
        <v>9.3459000619295352E-2</v>
      </c>
      <c r="C128" s="234">
        <f t="shared" si="11"/>
        <v>6.3081998761409297E-2</v>
      </c>
      <c r="D128" s="234">
        <f t="shared" si="12"/>
        <v>-0.1519180012385907</v>
      </c>
      <c r="E128">
        <f t="shared" si="15"/>
        <v>0</v>
      </c>
      <c r="F128" s="234">
        <f t="shared" si="13"/>
        <v>8.7500000000000008E-3</v>
      </c>
      <c r="G128" s="234">
        <f t="shared" si="14"/>
        <v>1.9704433497536944</v>
      </c>
    </row>
    <row r="129" spans="1:7" ht="6.6" customHeight="1">
      <c r="A129" s="226">
        <f>A126*10</f>
        <v>1000000</v>
      </c>
      <c r="B129" s="225">
        <f t="shared" si="10"/>
        <v>6.6085493100837334E-2</v>
      </c>
      <c r="C129" s="234">
        <f t="shared" si="11"/>
        <v>0.11782901379832533</v>
      </c>
      <c r="D129" s="234">
        <f t="shared" si="12"/>
        <v>-9.7170986201674664E-2</v>
      </c>
      <c r="E129">
        <f t="shared" si="15"/>
        <v>0</v>
      </c>
      <c r="F129" s="234">
        <f t="shared" si="13"/>
        <v>8.7500000000000008E-3</v>
      </c>
      <c r="G129" s="234">
        <f t="shared" si="14"/>
        <v>1.9704433497536944</v>
      </c>
    </row>
    <row r="130" spans="1:7" ht="6.6" customHeight="1">
      <c r="A130" s="226">
        <v>2000000</v>
      </c>
      <c r="B130" s="225">
        <f t="shared" si="10"/>
        <v>4.6729500309681288E-2</v>
      </c>
      <c r="C130" s="234">
        <f t="shared" si="11"/>
        <v>0.15654099938063742</v>
      </c>
      <c r="D130" s="234">
        <f t="shared" si="12"/>
        <v>-5.8459000619362572E-2</v>
      </c>
      <c r="E130">
        <f t="shared" si="15"/>
        <v>0</v>
      </c>
      <c r="F130" s="234">
        <f t="shared" si="13"/>
        <v>8.7500000000000008E-3</v>
      </c>
      <c r="G130" s="234">
        <f t="shared" si="14"/>
        <v>1.9704433497536944</v>
      </c>
    </row>
    <row r="131" spans="1:7" ht="6.6" customHeight="1">
      <c r="A131" s="226">
        <v>5000000</v>
      </c>
      <c r="B131" s="225">
        <f t="shared" si="10"/>
        <v>2.9554330980069824E-2</v>
      </c>
      <c r="C131" s="234">
        <f t="shared" si="11"/>
        <v>0.19089133803986036</v>
      </c>
      <c r="D131" s="234">
        <f t="shared" si="12"/>
        <v>-2.4108661960139645E-2</v>
      </c>
      <c r="E131">
        <f t="shared" si="15"/>
        <v>0</v>
      </c>
      <c r="F131" s="234">
        <f t="shared" si="13"/>
        <v>8.7500000000000008E-3</v>
      </c>
      <c r="G131" s="234">
        <f t="shared" si="14"/>
        <v>1.9704433497536944</v>
      </c>
    </row>
    <row r="132" spans="1:7" ht="6.6" customHeight="1">
      <c r="A132" s="226">
        <f>A129*10</f>
        <v>10000000</v>
      </c>
      <c r="B132" s="225">
        <f t="shared" si="10"/>
        <v>2.0898067849489145E-2</v>
      </c>
      <c r="C132" s="234">
        <f t="shared" si="11"/>
        <v>0.20820386430102172</v>
      </c>
      <c r="D132" s="234">
        <f t="shared" si="12"/>
        <v>-6.7961356989782867E-3</v>
      </c>
      <c r="E132">
        <f t="shared" si="15"/>
        <v>0</v>
      </c>
      <c r="F132" s="234">
        <f t="shared" si="13"/>
        <v>8.7500000000000008E-3</v>
      </c>
      <c r="G132" s="234">
        <f t="shared" si="14"/>
        <v>1.9704433497536944</v>
      </c>
    </row>
    <row r="133" spans="1:7" ht="6.6" customHeight="1">
      <c r="A133" s="226">
        <v>20000000</v>
      </c>
      <c r="B133" s="225">
        <f t="shared" si="10"/>
        <v>1.4777165490141212E-2</v>
      </c>
      <c r="C133" s="234">
        <f t="shared" si="11"/>
        <v>0.22044566901971757</v>
      </c>
      <c r="D133" s="234">
        <f t="shared" si="12"/>
        <v>5.4456690197175785E-3</v>
      </c>
      <c r="E133">
        <f t="shared" si="15"/>
        <v>1.2004741503115911E-3</v>
      </c>
      <c r="F133" s="234">
        <f t="shared" si="13"/>
        <v>7.5495258496884095E-3</v>
      </c>
      <c r="G133" s="234">
        <f t="shared" si="14"/>
        <v>2.2837698225851399</v>
      </c>
    </row>
    <row r="134" spans="1:7" ht="6.6" customHeight="1">
      <c r="A134" s="226">
        <v>50000000</v>
      </c>
      <c r="B134" s="225">
        <f t="shared" si="10"/>
        <v>9.3459000621513993E-3</v>
      </c>
      <c r="C134" s="234">
        <f t="shared" si="11"/>
        <v>0.2313081998756972</v>
      </c>
      <c r="D134" s="234">
        <f t="shared" si="12"/>
        <v>1.6308199875697205E-2</v>
      </c>
      <c r="E134">
        <f t="shared" si="15"/>
        <v>3.7722203564605891E-3</v>
      </c>
      <c r="F134" s="234">
        <f t="shared" si="13"/>
        <v>4.9777796435394117E-3</v>
      </c>
      <c r="G134" s="234">
        <f t="shared" si="14"/>
        <v>3.4636686524929172</v>
      </c>
    </row>
    <row r="135" spans="1:7" ht="6.6" customHeight="1">
      <c r="A135" s="226">
        <f>A132*10</f>
        <v>100000000</v>
      </c>
      <c r="B135" s="225">
        <f t="shared" si="10"/>
        <v>6.6085493103974977E-3</v>
      </c>
      <c r="C135" s="234">
        <f t="shared" si="11"/>
        <v>0.23678290137920499</v>
      </c>
      <c r="D135" s="234">
        <f t="shared" si="12"/>
        <v>2.1782901379205008E-2</v>
      </c>
      <c r="E135">
        <f t="shared" si="15"/>
        <v>5.1578185890252476E-3</v>
      </c>
      <c r="F135" s="234">
        <f t="shared" si="13"/>
        <v>3.5921814109747532E-3</v>
      </c>
      <c r="G135" s="234">
        <f t="shared" si="14"/>
        <v>4.7996961561209988</v>
      </c>
    </row>
    <row r="136" spans="1:7" ht="6.6" customHeight="1">
      <c r="A136" s="226">
        <v>200000000</v>
      </c>
      <c r="B136" s="225">
        <f t="shared" si="10"/>
        <v>4.6729500314118587E-3</v>
      </c>
      <c r="C136" s="234">
        <f t="shared" si="11"/>
        <v>0.24065409993717629</v>
      </c>
      <c r="D136" s="234">
        <f t="shared" si="12"/>
        <v>2.5654099937176288E-2</v>
      </c>
      <c r="E136">
        <f t="shared" si="15"/>
        <v>6.1737643300795305E-3</v>
      </c>
      <c r="F136" s="234">
        <f t="shared" si="13"/>
        <v>2.5762356699204703E-3</v>
      </c>
      <c r="G136" s="234">
        <f t="shared" si="14"/>
        <v>6.6924697579694161</v>
      </c>
    </row>
    <row r="137" spans="1:7" ht="6.6" customHeight="1">
      <c r="A137" s="226">
        <v>500000000</v>
      </c>
      <c r="B137" s="225">
        <f t="shared" si="10"/>
        <v>2.9554330987085781E-3</v>
      </c>
      <c r="C137" s="234">
        <f t="shared" si="11"/>
        <v>0.24408913380258285</v>
      </c>
      <c r="D137" s="234">
        <f t="shared" si="12"/>
        <v>2.9089133802582847E-2</v>
      </c>
      <c r="E137">
        <f t="shared" si="15"/>
        <v>7.1003414729398804E-3</v>
      </c>
      <c r="F137" s="234">
        <f t="shared" si="13"/>
        <v>1.6496585270601204E-3</v>
      </c>
      <c r="G137" s="234">
        <f t="shared" si="14"/>
        <v>10.451483763170632</v>
      </c>
    </row>
    <row r="138" spans="1:7" ht="6.6" customHeight="1">
      <c r="A138" s="226">
        <f>A135*10</f>
        <v>1000000000</v>
      </c>
      <c r="B138" s="225">
        <f t="shared" si="10"/>
        <v>2.0898067859411226E-3</v>
      </c>
      <c r="C138" s="234">
        <f t="shared" si="11"/>
        <v>0.24582038642811777</v>
      </c>
      <c r="D138" s="234">
        <f t="shared" si="12"/>
        <v>3.0820386428117758E-2</v>
      </c>
      <c r="E138">
        <f t="shared" si="15"/>
        <v>7.5762793016238231E-3</v>
      </c>
      <c r="F138" s="234">
        <f t="shared" si="13"/>
        <v>1.1737206983761777E-3</v>
      </c>
      <c r="G138" s="234">
        <f t="shared" si="14"/>
        <v>14.689507762960964</v>
      </c>
    </row>
    <row r="139" spans="1:7" ht="6.6" customHeight="1">
      <c r="A139" s="226">
        <v>2000000000</v>
      </c>
      <c r="B139" s="225">
        <f t="shared" si="10"/>
        <v>1.4777165504173153E-3</v>
      </c>
      <c r="C139" s="234">
        <f t="shared" si="11"/>
        <v>0.24704456689916537</v>
      </c>
      <c r="D139" s="234">
        <f t="shared" si="12"/>
        <v>3.2044566899165371E-2</v>
      </c>
      <c r="E139">
        <f t="shared" si="15"/>
        <v>7.9164361510756405E-3</v>
      </c>
      <c r="F139" s="234">
        <f t="shared" si="13"/>
        <v>8.3356384892436033E-4</v>
      </c>
      <c r="G139" s="234">
        <f t="shared" si="14"/>
        <v>20.683933609396913</v>
      </c>
    </row>
    <row r="140" spans="1:7" ht="6.6" customHeight="1">
      <c r="A140" s="226">
        <v>5000000000</v>
      </c>
      <c r="B140" s="225">
        <f t="shared" si="10"/>
        <v>9.3459000843378439E-4</v>
      </c>
      <c r="C140" s="234">
        <f t="shared" si="11"/>
        <v>0.24813081998313244</v>
      </c>
      <c r="D140" s="234">
        <f t="shared" si="12"/>
        <v>3.3130819983132435E-2</v>
      </c>
      <c r="E140">
        <f t="shared" si="15"/>
        <v>8.2207775291282016E-3</v>
      </c>
      <c r="F140" s="234">
        <f t="shared" si="13"/>
        <v>5.2922247087179922E-4</v>
      </c>
      <c r="G140" s="234">
        <f t="shared" si="14"/>
        <v>32.57869848561559</v>
      </c>
    </row>
    <row r="141" spans="1:7" ht="6.6" customHeight="1">
      <c r="A141" s="226">
        <f>A138*10</f>
        <v>10000000000</v>
      </c>
      <c r="B141" s="225">
        <f t="shared" si="10"/>
        <v>6.6085493417738692E-4</v>
      </c>
      <c r="C141" s="234">
        <f t="shared" si="11"/>
        <v>0.24867829013164522</v>
      </c>
      <c r="D141" s="234">
        <f t="shared" si="12"/>
        <v>3.3678290131645229E-2</v>
      </c>
      <c r="E141">
        <f t="shared" si="15"/>
        <v>8.3750596044949964E-3</v>
      </c>
      <c r="F141" s="234">
        <f t="shared" si="13"/>
        <v>3.7494039550500444E-4</v>
      </c>
      <c r="G141" s="234">
        <f t="shared" si="14"/>
        <v>45.984320486787084</v>
      </c>
    </row>
    <row r="142" spans="1:7" ht="6.6" customHeight="1">
      <c r="A142" s="226">
        <v>20000000000</v>
      </c>
      <c r="B142" s="225">
        <f t="shared" si="10"/>
        <v>4.6729500757847485E-4</v>
      </c>
      <c r="C142" s="234">
        <f t="shared" si="11"/>
        <v>0.24906540998484306</v>
      </c>
      <c r="D142" s="234">
        <f t="shared" si="12"/>
        <v>3.4065409984843052E-2</v>
      </c>
      <c r="E142">
        <f t="shared" si="15"/>
        <v>8.484515304176701E-3</v>
      </c>
      <c r="F142" s="234">
        <f t="shared" si="13"/>
        <v>2.6548469582329988E-4</v>
      </c>
      <c r="G142" s="234">
        <f t="shared" si="14"/>
        <v>64.943025272614094</v>
      </c>
    </row>
    <row r="143" spans="1:7" ht="6.6" customHeight="1">
      <c r="A143" s="226">
        <v>50000000000</v>
      </c>
      <c r="B143" s="225">
        <f t="shared" si="10"/>
        <v>2.9554331688682803E-4</v>
      </c>
      <c r="C143" s="234">
        <f t="shared" si="11"/>
        <v>0.24940891336622634</v>
      </c>
      <c r="D143" s="234">
        <f t="shared" si="12"/>
        <v>3.4408913366226347E-2</v>
      </c>
      <c r="E143">
        <f t="shared" si="15"/>
        <v>8.5818896927831352E-3</v>
      </c>
      <c r="F143" s="234">
        <f t="shared" si="13"/>
        <v>1.6811030721686562E-4</v>
      </c>
      <c r="G143" s="234">
        <f t="shared" si="14"/>
        <v>102.55991792402774</v>
      </c>
    </row>
    <row r="144" spans="1:7" ht="6.6" customHeight="1">
      <c r="A144" s="226">
        <v>100000000000</v>
      </c>
      <c r="B144" s="225">
        <f t="shared" si="10"/>
        <v>2.0898068851619254E-4</v>
      </c>
      <c r="C144" s="234">
        <f t="shared" si="11"/>
        <v>0.24958203862296763</v>
      </c>
      <c r="D144" s="234">
        <f t="shared" si="12"/>
        <v>3.4582038622967617E-2</v>
      </c>
      <c r="E144">
        <f t="shared" si="15"/>
        <v>8.6310556992584622E-3</v>
      </c>
      <c r="F144" s="234">
        <f t="shared" si="13"/>
        <v>1.1894430074153861E-4</v>
      </c>
      <c r="G144" s="234">
        <f t="shared" si="14"/>
        <v>144.95338744989289</v>
      </c>
    </row>
    <row r="145" spans="1:13" ht="6.6" customHeight="1">
      <c r="A145" s="226"/>
      <c r="B145" s="234"/>
      <c r="C145" s="234"/>
      <c r="D145" s="234"/>
      <c r="F145" s="234"/>
      <c r="G145" s="234"/>
    </row>
    <row r="146" spans="1:13" ht="6.6" customHeight="1">
      <c r="A146" s="226"/>
      <c r="B146" s="234"/>
      <c r="C146" s="234"/>
      <c r="D146" s="234"/>
      <c r="F146" s="234"/>
      <c r="G146" s="234"/>
    </row>
    <row r="152" spans="1:13" ht="15.75">
      <c r="A152" s="1" t="s">
        <v>210</v>
      </c>
      <c r="B152" s="1"/>
      <c r="C152" s="1"/>
      <c r="D152" s="1"/>
      <c r="E152" s="1"/>
      <c r="F152" s="1"/>
      <c r="G152" s="1"/>
      <c r="H152" s="1"/>
      <c r="I152" s="1"/>
      <c r="J152" s="1"/>
      <c r="K152" s="1"/>
      <c r="L152" s="1"/>
      <c r="M152" s="1"/>
    </row>
    <row r="153" spans="1:13" ht="15.75">
      <c r="A153" s="305" t="s">
        <v>317</v>
      </c>
      <c r="B153" s="305"/>
      <c r="C153" s="305"/>
      <c r="D153" s="305"/>
      <c r="E153" s="305"/>
      <c r="F153" s="305"/>
      <c r="G153" s="305"/>
      <c r="H153" s="305"/>
      <c r="I153" s="305"/>
      <c r="J153" s="305"/>
      <c r="K153" s="305"/>
      <c r="L153" s="305"/>
      <c r="M153" s="305"/>
    </row>
    <row r="154" spans="1:13" ht="15.75">
      <c r="A154" s="305" t="s">
        <v>334</v>
      </c>
      <c r="B154" s="305"/>
      <c r="C154" s="305"/>
      <c r="D154" s="305"/>
      <c r="E154" s="305"/>
      <c r="F154" s="305"/>
      <c r="G154" s="305"/>
      <c r="H154" s="305"/>
      <c r="I154" s="305"/>
      <c r="J154" s="305"/>
      <c r="K154" s="305"/>
      <c r="L154" s="305"/>
      <c r="M154" s="305"/>
    </row>
    <row r="155" spans="1:13" ht="15.75">
      <c r="A155" s="305" t="s">
        <v>539</v>
      </c>
      <c r="B155" s="305"/>
      <c r="C155" s="305"/>
      <c r="D155" s="305"/>
      <c r="E155" s="305"/>
      <c r="F155" s="305"/>
      <c r="G155" s="305"/>
      <c r="H155" s="305"/>
      <c r="I155" s="305"/>
      <c r="J155" s="305"/>
      <c r="K155" s="305"/>
      <c r="L155" s="305"/>
      <c r="M155" s="305"/>
    </row>
    <row r="156" spans="1:13" ht="15.75">
      <c r="A156" s="1" t="s">
        <v>555</v>
      </c>
      <c r="B156" s="1"/>
      <c r="C156" s="1"/>
      <c r="D156" s="1"/>
      <c r="E156" s="1"/>
      <c r="F156" s="1"/>
      <c r="G156" s="1"/>
      <c r="H156" s="1"/>
      <c r="I156" s="1"/>
      <c r="J156" s="1"/>
      <c r="K156" s="1"/>
      <c r="L156" s="1"/>
      <c r="M156" s="1"/>
    </row>
    <row r="157" spans="1:13">
      <c r="B157" s="83"/>
      <c r="C157" s="83"/>
      <c r="D157" s="83"/>
      <c r="E157" s="83"/>
      <c r="F157" s="83"/>
      <c r="G157" s="83"/>
      <c r="H157" s="83"/>
      <c r="I157" s="83"/>
      <c r="J157" s="83"/>
      <c r="K157" s="83"/>
      <c r="L157" s="83"/>
      <c r="M157" s="83"/>
    </row>
    <row r="158" spans="1:13" ht="24.6" customHeight="1">
      <c r="A158" s="288" t="s">
        <v>37</v>
      </c>
      <c r="B158" s="288"/>
      <c r="C158" s="288"/>
      <c r="D158" s="288"/>
      <c r="E158" s="288"/>
      <c r="F158" s="288"/>
      <c r="G158" s="288"/>
      <c r="H158" s="288"/>
      <c r="I158" s="288"/>
      <c r="J158" s="288"/>
      <c r="K158" s="288"/>
      <c r="L158" s="288"/>
      <c r="M158" s="288"/>
    </row>
  </sheetData>
  <sheetProtection sheet="1" objects="1" scenarios="1"/>
  <mergeCells count="7">
    <mergeCell ref="A60:M60"/>
    <mergeCell ref="A34:M34"/>
    <mergeCell ref="A153:M153"/>
    <mergeCell ref="A154:M154"/>
    <mergeCell ref="A158:M158"/>
    <mergeCell ref="A155:M155"/>
    <mergeCell ref="A102:M102"/>
  </mergeCells>
  <phoneticPr fontId="16" type="noConversion"/>
  <pageMargins left="0.7" right="0.7" top="0.75" bottom="0.75" header="0.3" footer="0.3"/>
  <pageSetup paperSize="9" scale="3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4FBF-04A0-4985-B325-85628D8CB102}">
  <dimension ref="A1:O275"/>
  <sheetViews>
    <sheetView zoomScaleNormal="100" workbookViewId="0">
      <selection activeCell="B25" sqref="B25:B27"/>
    </sheetView>
  </sheetViews>
  <sheetFormatPr defaultColWidth="8.85546875" defaultRowHeight="15"/>
  <cols>
    <col min="1" max="1" width="22.85546875" customWidth="1"/>
    <col min="2" max="2" width="14.28515625" customWidth="1"/>
    <col min="3" max="3" width="11.85546875" bestFit="1" customWidth="1"/>
    <col min="4" max="4" width="12" customWidth="1"/>
    <col min="5" max="5" width="10.42578125" customWidth="1"/>
    <col min="6" max="6" width="10.7109375" customWidth="1"/>
    <col min="7" max="7" width="9.28515625" customWidth="1"/>
    <col min="9" max="9" width="5.42578125" customWidth="1"/>
    <col min="10" max="10" width="9.7109375" customWidth="1"/>
    <col min="12" max="12" width="8.28515625" customWidth="1"/>
    <col min="13" max="13" width="16.7109375" customWidth="1"/>
  </cols>
  <sheetData>
    <row r="1" spans="1:13" ht="15.75">
      <c r="A1" s="39" t="s">
        <v>561</v>
      </c>
      <c r="B1" s="1"/>
      <c r="C1" s="1"/>
      <c r="D1" s="1"/>
      <c r="E1" s="1"/>
      <c r="F1" s="1"/>
      <c r="G1" s="1"/>
      <c r="H1" s="1"/>
      <c r="I1" s="10"/>
      <c r="J1" s="10"/>
      <c r="K1" s="10"/>
      <c r="L1" s="10"/>
      <c r="M1" s="10"/>
    </row>
    <row r="2" spans="1:13" ht="15.75">
      <c r="A2" s="1"/>
      <c r="B2" s="1"/>
      <c r="C2" s="1"/>
      <c r="D2" s="1"/>
      <c r="E2" s="1"/>
      <c r="F2" s="1"/>
      <c r="G2" s="1"/>
      <c r="H2" s="1"/>
      <c r="I2" s="10"/>
      <c r="J2" s="10"/>
      <c r="K2" s="10"/>
      <c r="L2" s="10"/>
      <c r="M2" s="10"/>
    </row>
    <row r="3" spans="1:13" ht="15.75">
      <c r="A3" s="1" t="s">
        <v>1</v>
      </c>
      <c r="B3" s="43" t="s">
        <v>629</v>
      </c>
      <c r="C3" s="1"/>
      <c r="D3" s="1"/>
      <c r="E3" s="1"/>
      <c r="F3" s="10"/>
      <c r="G3" s="10"/>
      <c r="H3" s="10"/>
      <c r="I3" s="10"/>
      <c r="J3" s="10"/>
      <c r="K3" s="10"/>
      <c r="L3" s="10"/>
      <c r="M3" s="10"/>
    </row>
    <row r="4" spans="1:13" ht="15.75">
      <c r="A4" s="1" t="s">
        <v>3</v>
      </c>
      <c r="B4" s="1" t="s">
        <v>4</v>
      </c>
      <c r="C4" s="1"/>
      <c r="D4" s="1"/>
      <c r="E4" s="1"/>
      <c r="F4" s="10"/>
      <c r="G4" s="10"/>
      <c r="H4" s="10"/>
      <c r="I4" s="10"/>
      <c r="J4" s="10"/>
      <c r="K4" s="10"/>
      <c r="L4" s="10"/>
      <c r="M4" s="10"/>
    </row>
    <row r="5" spans="1:13" ht="15.75">
      <c r="A5" s="1" t="s">
        <v>5</v>
      </c>
      <c r="B5" s="1" t="s">
        <v>630</v>
      </c>
      <c r="C5" s="1"/>
      <c r="D5" s="1"/>
      <c r="E5" s="1"/>
      <c r="F5" s="10"/>
      <c r="G5" s="10"/>
      <c r="H5" s="10"/>
      <c r="I5" s="10"/>
      <c r="J5" s="10"/>
      <c r="K5" s="10"/>
      <c r="L5" s="10"/>
      <c r="M5" s="10"/>
    </row>
    <row r="7" spans="1:13" ht="21">
      <c r="A7" s="307" t="s">
        <v>631</v>
      </c>
      <c r="B7" s="307"/>
      <c r="C7" s="307"/>
      <c r="D7" s="307"/>
      <c r="E7" s="307"/>
      <c r="F7" s="307"/>
      <c r="G7" s="307"/>
      <c r="H7" s="307"/>
      <c r="I7" s="307"/>
      <c r="J7" s="307"/>
      <c r="K7" s="307"/>
      <c r="L7" s="307"/>
      <c r="M7" s="307"/>
    </row>
    <row r="8" spans="1:13" ht="75.75" customHeight="1">
      <c r="A8" s="318" t="s">
        <v>644</v>
      </c>
      <c r="B8" s="318"/>
      <c r="C8" s="318"/>
      <c r="D8" s="318"/>
      <c r="E8" s="318"/>
      <c r="F8" s="318"/>
      <c r="G8" s="318"/>
      <c r="H8" s="318"/>
      <c r="I8" s="318"/>
      <c r="J8" s="318"/>
      <c r="K8" s="318"/>
      <c r="L8" s="318"/>
      <c r="M8" s="318"/>
    </row>
    <row r="9" spans="1:13">
      <c r="A9" s="342"/>
      <c r="B9" s="342"/>
      <c r="C9" s="342"/>
      <c r="D9" s="342"/>
      <c r="E9" s="342"/>
      <c r="F9" s="342"/>
      <c r="G9" s="342"/>
      <c r="H9" s="342"/>
      <c r="I9" s="342"/>
      <c r="J9" s="342"/>
      <c r="K9" s="342"/>
      <c r="L9" s="342"/>
      <c r="M9" s="342"/>
    </row>
    <row r="10" spans="1:13">
      <c r="A10" s="343" t="s">
        <v>645</v>
      </c>
      <c r="B10" s="343"/>
      <c r="C10" s="343"/>
      <c r="D10" s="343"/>
      <c r="E10" s="343"/>
      <c r="F10" s="343"/>
      <c r="G10" s="343"/>
      <c r="H10" s="343"/>
      <c r="I10" s="343"/>
      <c r="J10" s="343"/>
      <c r="K10" s="343"/>
      <c r="L10" s="343"/>
      <c r="M10" s="343"/>
    </row>
    <row r="11" spans="1:13">
      <c r="A11" s="342"/>
      <c r="B11" s="342"/>
      <c r="C11" s="342"/>
      <c r="D11" s="342"/>
      <c r="E11" s="342"/>
      <c r="F11" s="342"/>
      <c r="G11" s="342"/>
      <c r="H11" s="342"/>
      <c r="I11" s="342"/>
      <c r="J11" s="342"/>
      <c r="K11" s="342"/>
      <c r="L11" s="342"/>
      <c r="M11" s="342"/>
    </row>
    <row r="12" spans="1:13">
      <c r="A12" s="44" t="s">
        <v>10</v>
      </c>
      <c r="B12" s="44"/>
      <c r="C12" s="45" t="s">
        <v>11</v>
      </c>
    </row>
    <row r="13" spans="1:13" ht="15.75">
      <c r="A13" s="1" t="s">
        <v>320</v>
      </c>
      <c r="B13" s="1"/>
      <c r="C13" s="16" t="s">
        <v>44</v>
      </c>
    </row>
    <row r="14" spans="1:13" ht="15.75">
      <c r="A14" s="1" t="s">
        <v>321</v>
      </c>
      <c r="B14" s="1"/>
      <c r="C14" s="16" t="s">
        <v>52</v>
      </c>
    </row>
    <row r="15" spans="1:13" ht="15.75">
      <c r="A15" s="1" t="s">
        <v>322</v>
      </c>
      <c r="B15" s="1"/>
      <c r="C15" s="16" t="s">
        <v>99</v>
      </c>
    </row>
    <row r="16" spans="1:13" ht="15.75">
      <c r="A16" s="1" t="s">
        <v>323</v>
      </c>
      <c r="B16" s="1"/>
      <c r="C16" s="16" t="s">
        <v>99</v>
      </c>
    </row>
    <row r="17" spans="1:13" ht="15.75">
      <c r="A17" s="1"/>
      <c r="B17" s="1"/>
      <c r="C17" s="16"/>
    </row>
    <row r="18" spans="1:13">
      <c r="A18" s="44" t="s">
        <v>42</v>
      </c>
      <c r="B18" s="53" t="s">
        <v>31</v>
      </c>
      <c r="C18" s="45" t="s">
        <v>11</v>
      </c>
    </row>
    <row r="19" spans="1:13">
      <c r="A19" s="46" t="s">
        <v>45</v>
      </c>
      <c r="B19" s="15">
        <v>299800000</v>
      </c>
      <c r="C19" s="16" t="s">
        <v>46</v>
      </c>
    </row>
    <row r="20" spans="1:13">
      <c r="A20" s="46" t="s">
        <v>49</v>
      </c>
      <c r="B20" s="15">
        <v>8.8539999999999992E-12</v>
      </c>
      <c r="C20" s="16" t="s">
        <v>50</v>
      </c>
    </row>
    <row r="21" spans="1:13">
      <c r="A21" s="46" t="s">
        <v>53</v>
      </c>
      <c r="B21" s="15">
        <f>4*PI()*0.0000001</f>
        <v>1.2566370614359173E-6</v>
      </c>
      <c r="C21" s="16" t="s">
        <v>54</v>
      </c>
    </row>
    <row r="23" spans="1:13" ht="21">
      <c r="A23" s="307" t="s">
        <v>562</v>
      </c>
      <c r="B23" s="307"/>
      <c r="C23" s="307"/>
      <c r="D23" s="307"/>
      <c r="E23" s="307"/>
      <c r="F23" s="307"/>
      <c r="G23" s="307"/>
      <c r="H23" s="307"/>
      <c r="I23" s="341"/>
      <c r="J23" s="341"/>
      <c r="K23" s="341"/>
      <c r="L23" s="341"/>
      <c r="M23" s="341"/>
    </row>
    <row r="24" spans="1:13" ht="15.75">
      <c r="A24" s="44" t="s">
        <v>30</v>
      </c>
      <c r="B24" s="45" t="s">
        <v>31</v>
      </c>
      <c r="C24" s="53" t="s">
        <v>11</v>
      </c>
      <c r="D24" s="45" t="s">
        <v>32</v>
      </c>
      <c r="E24" s="48"/>
      <c r="F24" s="48"/>
      <c r="G24" s="41"/>
      <c r="H24" s="40"/>
      <c r="I24" s="321"/>
      <c r="J24" s="321"/>
      <c r="K24" s="321"/>
      <c r="L24" s="321"/>
      <c r="M24" s="322"/>
    </row>
    <row r="25" spans="1:13" ht="15.75">
      <c r="A25" s="16" t="s">
        <v>324</v>
      </c>
      <c r="B25" s="337">
        <v>38200000</v>
      </c>
      <c r="C25" s="55" t="s">
        <v>325</v>
      </c>
      <c r="D25" s="16" t="s">
        <v>633</v>
      </c>
      <c r="E25" s="10"/>
      <c r="F25" s="10"/>
      <c r="G25" s="1"/>
      <c r="H25" s="10"/>
      <c r="I25" s="10"/>
      <c r="J25" s="10"/>
      <c r="K25" s="10"/>
      <c r="L25" s="10"/>
    </row>
    <row r="26" spans="1:13" ht="15.75">
      <c r="A26" s="319" t="s">
        <v>634</v>
      </c>
      <c r="B26" s="110" t="s">
        <v>643</v>
      </c>
      <c r="C26" s="55" t="s">
        <v>235</v>
      </c>
      <c r="D26" s="16" t="s">
        <v>635</v>
      </c>
      <c r="E26" s="10"/>
      <c r="F26" s="10"/>
      <c r="G26" s="1"/>
      <c r="H26" s="10"/>
      <c r="I26" s="10"/>
      <c r="J26" s="10"/>
      <c r="K26" s="10"/>
      <c r="L26" s="10"/>
    </row>
    <row r="27" spans="1:13" ht="15.75">
      <c r="A27" s="46" t="s">
        <v>103</v>
      </c>
      <c r="B27" s="338">
        <v>1</v>
      </c>
      <c r="C27" s="55" t="s">
        <v>102</v>
      </c>
      <c r="D27" s="16" t="s">
        <v>636</v>
      </c>
      <c r="E27" s="10"/>
      <c r="F27" s="10"/>
      <c r="G27" s="1"/>
      <c r="H27" s="10"/>
      <c r="I27" s="10"/>
      <c r="J27" s="10"/>
      <c r="K27" s="10"/>
      <c r="L27" s="10"/>
    </row>
    <row r="28" spans="1:13" ht="15.75">
      <c r="A28" s="46"/>
      <c r="B28" s="340"/>
      <c r="C28" s="320"/>
      <c r="D28" s="319"/>
      <c r="E28" s="10"/>
      <c r="F28" s="10"/>
      <c r="G28" s="1"/>
      <c r="H28" s="10"/>
      <c r="I28" s="10"/>
      <c r="J28" s="10"/>
      <c r="K28" s="10"/>
      <c r="L28" s="10"/>
    </row>
    <row r="29" spans="1:13" ht="15.75">
      <c r="A29" s="46"/>
      <c r="B29" s="340"/>
      <c r="C29" s="320"/>
      <c r="D29" s="319"/>
      <c r="E29" s="10"/>
      <c r="F29" s="10"/>
      <c r="G29" s="1"/>
      <c r="H29" s="10"/>
      <c r="I29" s="10"/>
      <c r="J29" s="10"/>
      <c r="K29" s="10"/>
      <c r="L29" s="10"/>
    </row>
    <row r="30" spans="1:13" ht="15.75">
      <c r="A30" s="46"/>
      <c r="B30" s="340"/>
      <c r="C30" s="320"/>
      <c r="D30" s="319"/>
      <c r="E30" s="10"/>
      <c r="F30" s="10"/>
      <c r="G30" s="1"/>
      <c r="H30" s="10"/>
      <c r="I30" s="10"/>
      <c r="J30" s="10"/>
      <c r="K30" s="10"/>
      <c r="L30" s="10"/>
    </row>
    <row r="31" spans="1:13" ht="15.75">
      <c r="A31" s="46"/>
      <c r="B31" s="340"/>
      <c r="C31" s="320"/>
      <c r="D31" s="319"/>
      <c r="E31" s="10"/>
      <c r="F31" s="10"/>
      <c r="G31" s="1"/>
      <c r="H31" s="10"/>
      <c r="I31" s="10"/>
      <c r="J31" s="10"/>
      <c r="K31" s="10"/>
      <c r="L31" s="10"/>
    </row>
    <row r="32" spans="1:13" ht="15.75">
      <c r="A32" s="46"/>
      <c r="B32" s="340"/>
      <c r="C32" s="320"/>
      <c r="D32" s="319"/>
      <c r="E32" s="10"/>
      <c r="F32" s="10"/>
      <c r="G32" s="1"/>
      <c r="H32" s="10"/>
      <c r="I32" s="10"/>
      <c r="J32" s="10"/>
      <c r="K32" s="10"/>
      <c r="L32" s="10"/>
    </row>
    <row r="33" spans="1:12" ht="15.75">
      <c r="A33" s="46"/>
      <c r="B33" s="340"/>
      <c r="C33" s="320"/>
      <c r="D33" s="319"/>
      <c r="E33" s="10"/>
      <c r="F33" s="10"/>
      <c r="G33" s="1"/>
      <c r="H33" s="10"/>
      <c r="I33" s="10"/>
      <c r="J33" s="10"/>
      <c r="K33" s="10"/>
      <c r="L33" s="10"/>
    </row>
    <row r="34" spans="1:12" ht="15.75">
      <c r="A34" s="46"/>
      <c r="B34" s="340"/>
      <c r="C34" s="320"/>
      <c r="D34" s="319"/>
      <c r="E34" s="10"/>
      <c r="F34" s="10"/>
      <c r="G34" s="1"/>
      <c r="H34" s="10"/>
      <c r="I34" s="10"/>
      <c r="J34" s="10"/>
      <c r="K34" s="10"/>
      <c r="L34" s="10"/>
    </row>
    <row r="35" spans="1:12" ht="15.75">
      <c r="A35" s="46"/>
      <c r="B35" s="340"/>
      <c r="C35" s="320"/>
      <c r="D35" s="319"/>
      <c r="E35" s="10"/>
      <c r="F35" s="10"/>
      <c r="G35" s="1"/>
      <c r="H35" s="10"/>
      <c r="I35" s="10"/>
      <c r="J35" s="10"/>
      <c r="K35" s="10"/>
      <c r="L35" s="10"/>
    </row>
    <row r="36" spans="1:12" ht="15.75">
      <c r="A36" s="46"/>
      <c r="B36" s="340"/>
      <c r="C36" s="320"/>
      <c r="D36" s="319"/>
      <c r="E36" s="10"/>
      <c r="F36" s="10"/>
      <c r="G36" s="1"/>
      <c r="H36" s="10"/>
      <c r="I36" s="10"/>
      <c r="J36" s="10"/>
      <c r="K36" s="10"/>
      <c r="L36" s="10"/>
    </row>
    <row r="37" spans="1:12" ht="15.75">
      <c r="A37" s="46"/>
      <c r="B37" s="340"/>
      <c r="C37" s="320"/>
      <c r="D37" s="319"/>
      <c r="E37" s="10"/>
      <c r="F37" s="10"/>
      <c r="G37" s="1"/>
      <c r="H37" s="10"/>
      <c r="I37" s="10"/>
      <c r="J37" s="10"/>
      <c r="K37" s="10"/>
      <c r="L37" s="10"/>
    </row>
    <row r="38" spans="1:12" ht="15.75">
      <c r="A38" s="46"/>
      <c r="B38" s="340"/>
      <c r="C38" s="320"/>
      <c r="D38" s="319"/>
      <c r="E38" s="10"/>
      <c r="F38" s="10"/>
      <c r="G38" s="1"/>
      <c r="H38" s="10"/>
      <c r="I38" s="10"/>
      <c r="J38" s="10"/>
      <c r="K38" s="10"/>
      <c r="L38" s="10"/>
    </row>
    <row r="39" spans="1:12" ht="15.75">
      <c r="A39" s="46"/>
      <c r="B39" s="340"/>
      <c r="C39" s="320"/>
      <c r="D39" s="319"/>
      <c r="E39" s="10"/>
      <c r="F39" s="10"/>
      <c r="G39" s="1"/>
      <c r="H39" s="10"/>
      <c r="I39" s="10"/>
      <c r="J39" s="10"/>
      <c r="K39" s="10"/>
      <c r="L39" s="10"/>
    </row>
    <row r="40" spans="1:12" ht="15.75">
      <c r="A40" s="46"/>
      <c r="B40" s="340"/>
      <c r="C40" s="320"/>
      <c r="D40" s="319"/>
      <c r="E40" s="10"/>
      <c r="F40" s="10"/>
      <c r="G40" s="1"/>
      <c r="H40" s="10"/>
      <c r="I40" s="10"/>
      <c r="J40" s="10"/>
      <c r="K40" s="10"/>
      <c r="L40" s="10"/>
    </row>
    <row r="41" spans="1:12" ht="15.75">
      <c r="A41" s="46"/>
      <c r="B41" s="340"/>
      <c r="C41" s="320"/>
      <c r="D41" s="319"/>
      <c r="E41" s="10"/>
      <c r="F41" s="10"/>
      <c r="G41" s="1"/>
      <c r="H41" s="10"/>
      <c r="I41" s="10"/>
      <c r="J41" s="10"/>
      <c r="K41" s="10"/>
      <c r="L41" s="10"/>
    </row>
    <row r="42" spans="1:12" ht="15.75">
      <c r="A42" s="46"/>
      <c r="B42" s="340"/>
      <c r="C42" s="320"/>
      <c r="D42" s="319"/>
      <c r="E42" s="10"/>
      <c r="F42" s="10"/>
      <c r="G42" s="1"/>
      <c r="H42" s="10"/>
      <c r="I42" s="10"/>
      <c r="J42" s="10"/>
      <c r="K42" s="10"/>
      <c r="L42" s="10"/>
    </row>
    <row r="43" spans="1:12" ht="15.75">
      <c r="A43" s="46"/>
      <c r="B43" s="340"/>
      <c r="C43" s="320"/>
      <c r="D43" s="319"/>
      <c r="E43" s="10"/>
      <c r="F43" s="10"/>
      <c r="G43" s="1"/>
      <c r="H43" s="10"/>
      <c r="I43" s="10"/>
      <c r="J43" s="10"/>
      <c r="K43" s="10"/>
      <c r="L43" s="10"/>
    </row>
    <row r="44" spans="1:12" ht="15.75">
      <c r="A44" s="46"/>
      <c r="B44" s="340"/>
      <c r="C44" s="320"/>
      <c r="D44" s="319"/>
      <c r="E44" s="10"/>
      <c r="F44" s="10"/>
      <c r="G44" s="1"/>
      <c r="H44" s="10"/>
      <c r="I44" s="10"/>
      <c r="J44" s="10"/>
      <c r="K44" s="10"/>
      <c r="L44" s="10"/>
    </row>
    <row r="45" spans="1:12" ht="15.75">
      <c r="A45" s="46"/>
      <c r="B45" s="340"/>
      <c r="C45" s="320"/>
      <c r="D45" s="319"/>
      <c r="E45" s="10"/>
      <c r="F45" s="10"/>
      <c r="G45" s="1"/>
      <c r="H45" s="10"/>
      <c r="I45" s="10"/>
      <c r="J45" s="10"/>
      <c r="K45" s="10"/>
      <c r="L45" s="10"/>
    </row>
    <row r="46" spans="1:12" ht="15.75">
      <c r="A46" s="46"/>
      <c r="B46" s="340"/>
      <c r="C46" s="320"/>
      <c r="D46" s="319"/>
      <c r="E46" s="10"/>
      <c r="F46" s="10"/>
      <c r="G46" s="1"/>
      <c r="H46" s="10"/>
      <c r="I46" s="10"/>
      <c r="J46" s="10"/>
      <c r="K46" s="10"/>
      <c r="L46" s="10"/>
    </row>
    <row r="47" spans="1:12" ht="15.75">
      <c r="A47" s="46"/>
      <c r="B47" s="340"/>
      <c r="C47" s="320"/>
      <c r="D47" s="319"/>
      <c r="E47" s="10"/>
      <c r="F47" s="10"/>
      <c r="G47" s="1"/>
      <c r="H47" s="10"/>
      <c r="I47" s="10"/>
      <c r="J47" s="10"/>
      <c r="K47" s="10"/>
      <c r="L47" s="10"/>
    </row>
    <row r="48" spans="1:12" ht="15.75">
      <c r="A48" s="46"/>
      <c r="B48" s="340"/>
      <c r="C48" s="320"/>
      <c r="D48" s="319"/>
      <c r="E48" s="10"/>
      <c r="F48" s="10"/>
      <c r="G48" s="1"/>
      <c r="H48" s="10"/>
      <c r="I48" s="10"/>
      <c r="J48" s="10"/>
      <c r="K48" s="10"/>
      <c r="L48" s="10"/>
    </row>
    <row r="49" spans="1:13">
      <c r="A49" t="s">
        <v>637</v>
      </c>
      <c r="B49" t="s">
        <v>638</v>
      </c>
      <c r="C49" t="s">
        <v>639</v>
      </c>
      <c r="D49" t="s">
        <v>640</v>
      </c>
      <c r="E49" t="s">
        <v>641</v>
      </c>
      <c r="F49" t="s">
        <v>642</v>
      </c>
      <c r="G49" s="322"/>
      <c r="H49" s="322"/>
      <c r="I49" s="322"/>
      <c r="J49" s="322"/>
      <c r="K49" s="322"/>
      <c r="L49" s="322"/>
    </row>
    <row r="50" spans="1:13">
      <c r="A50" s="228">
        <v>10</v>
      </c>
      <c r="B50" s="228">
        <f>1/SQRT(PI()*A50*$B$21*$B$27*$B$25)</f>
        <v>2.5750665070750703E-2</v>
      </c>
      <c r="C50" s="339">
        <f>20*LOG10(SQRT($B$25/(4*PI()*A50*$B$27*$B$20)))</f>
        <v>165.35713981246784</v>
      </c>
      <c r="D50" s="339">
        <f>8.7*$B$26/1000/B50</f>
        <v>3.3785535154515413E-2</v>
      </c>
      <c r="E50" s="339">
        <f>20*LOG10(1-EXP(-2*($B$26/1000)/B50))</f>
        <v>-42.228877997870022</v>
      </c>
      <c r="F50" s="339">
        <f>C50+D50+E50</f>
        <v>123.16204734975233</v>
      </c>
      <c r="G50" s="322"/>
      <c r="H50" s="322"/>
      <c r="I50" s="322"/>
      <c r="J50" s="322"/>
      <c r="K50" s="322"/>
      <c r="L50" s="322"/>
    </row>
    <row r="51" spans="1:13">
      <c r="A51" s="228">
        <f>A50*1.1</f>
        <v>11</v>
      </c>
      <c r="B51" s="228">
        <f t="shared" ref="B51:B114" si="0">1/SQRT(PI()*A51*$B$21*$B$27*$B$25)</f>
        <v>2.4552295793153999E-2</v>
      </c>
      <c r="C51" s="339">
        <f t="shared" ref="C51:C56" si="1">20*LOG10(SQRT($B$25/(4*PI()*A51*$B$27*$B$20)))</f>
        <v>164.94321296088557</v>
      </c>
      <c r="D51" s="339">
        <f t="shared" ref="D51:D56" si="2">8.7*$B$26/1000/B51</f>
        <v>3.5434568210219473E-2</v>
      </c>
      <c r="E51" s="339">
        <f t="shared" ref="E51:E114" si="3">20*LOG10(1-EXP(-2*($B$26/1000)/B51))</f>
        <v>-41.81659532164786</v>
      </c>
      <c r="F51" s="339">
        <f t="shared" ref="F51:F56" si="4">C51+D51+E51</f>
        <v>123.16205220744791</v>
      </c>
      <c r="G51" s="322"/>
      <c r="H51" s="322"/>
      <c r="I51" s="322"/>
      <c r="J51" s="322"/>
      <c r="K51" s="322"/>
      <c r="L51" s="322"/>
    </row>
    <row r="52" spans="1:13" ht="15.75">
      <c r="A52" s="228">
        <f>A51*1.1</f>
        <v>12.100000000000001</v>
      </c>
      <c r="B52" s="228">
        <f t="shared" si="0"/>
        <v>2.3409695518864276E-2</v>
      </c>
      <c r="C52" s="339">
        <f t="shared" si="1"/>
        <v>164.52928610930331</v>
      </c>
      <c r="D52" s="339">
        <f t="shared" si="2"/>
        <v>3.7164088669966955E-2</v>
      </c>
      <c r="E52" s="339">
        <f t="shared" si="3"/>
        <v>-41.404392783973101</v>
      </c>
      <c r="F52" s="339">
        <f t="shared" si="4"/>
        <v>123.16205741400017</v>
      </c>
      <c r="G52" s="321"/>
      <c r="H52" s="320"/>
      <c r="I52" s="321"/>
      <c r="J52" s="321"/>
      <c r="K52" s="321"/>
      <c r="L52" s="321"/>
      <c r="M52" s="10"/>
    </row>
    <row r="53" spans="1:13">
      <c r="A53" s="228">
        <f t="shared" ref="A53:A116" si="5">A52*1.1</f>
        <v>13.310000000000002</v>
      </c>
      <c r="B53" s="228">
        <f t="shared" si="0"/>
        <v>2.2320268902867268E-2</v>
      </c>
      <c r="C53" s="339">
        <f t="shared" si="1"/>
        <v>164.11535925772108</v>
      </c>
      <c r="D53" s="339">
        <f t="shared" si="2"/>
        <v>3.8978025031241426E-2</v>
      </c>
      <c r="E53" s="339">
        <f t="shared" si="3"/>
        <v>-40.992274285139956</v>
      </c>
      <c r="F53" s="339">
        <f t="shared" si="4"/>
        <v>123.16206299761237</v>
      </c>
      <c r="G53" s="322"/>
      <c r="H53" s="322"/>
      <c r="I53" s="322"/>
      <c r="J53" s="322"/>
      <c r="K53" s="322"/>
      <c r="L53" s="322"/>
    </row>
    <row r="54" spans="1:13">
      <c r="A54" s="228">
        <f t="shared" si="5"/>
        <v>14.641000000000004</v>
      </c>
      <c r="B54" s="228">
        <f t="shared" si="0"/>
        <v>2.1281541380785703E-2</v>
      </c>
      <c r="C54" s="339">
        <f t="shared" si="1"/>
        <v>163.70143240613885</v>
      </c>
      <c r="D54" s="339">
        <f t="shared" si="2"/>
        <v>4.0880497536963656E-2</v>
      </c>
      <c r="E54" s="339">
        <f t="shared" si="3"/>
        <v>-40.580243914694179</v>
      </c>
      <c r="F54" s="339">
        <f t="shared" si="4"/>
        <v>123.16206898898163</v>
      </c>
      <c r="G54" s="322"/>
      <c r="H54" s="322"/>
      <c r="I54" s="322"/>
      <c r="J54" s="322"/>
      <c r="K54" s="322"/>
      <c r="L54" s="322"/>
    </row>
    <row r="55" spans="1:13">
      <c r="A55" s="228">
        <f t="shared" si="5"/>
        <v>16.105100000000004</v>
      </c>
      <c r="B55" s="228">
        <f t="shared" si="0"/>
        <v>2.0291153548061151E-2</v>
      </c>
      <c r="C55" s="339">
        <f t="shared" si="1"/>
        <v>163.28750555455659</v>
      </c>
      <c r="D55" s="339">
        <f t="shared" si="2"/>
        <v>4.2875827534365571E-2</v>
      </c>
      <c r="E55" s="339">
        <f t="shared" si="3"/>
        <v>-40.168305960558214</v>
      </c>
      <c r="F55" s="339">
        <f t="shared" si="4"/>
        <v>123.16207542153275</v>
      </c>
      <c r="G55" s="322"/>
      <c r="H55" s="322"/>
      <c r="I55" s="322"/>
      <c r="J55" s="322"/>
      <c r="K55" s="322"/>
      <c r="L55" s="322"/>
    </row>
    <row r="56" spans="1:13">
      <c r="A56" s="228">
        <f t="shared" si="5"/>
        <v>17.715610000000005</v>
      </c>
      <c r="B56" s="228">
        <f t="shared" si="0"/>
        <v>1.9346855800714272E-2</v>
      </c>
      <c r="C56" s="339">
        <f t="shared" si="1"/>
        <v>162.87357870297433</v>
      </c>
      <c r="D56" s="339">
        <f t="shared" si="2"/>
        <v>4.4968547290660028E-2</v>
      </c>
      <c r="E56" s="339">
        <f t="shared" si="3"/>
        <v>-39.75646491859073</v>
      </c>
      <c r="F56" s="339">
        <f t="shared" si="4"/>
        <v>123.16208233167427</v>
      </c>
      <c r="G56" s="322"/>
      <c r="H56" s="332"/>
      <c r="I56" s="333"/>
      <c r="J56" s="322"/>
      <c r="K56" s="322"/>
      <c r="L56" s="322"/>
    </row>
    <row r="57" spans="1:13">
      <c r="A57" s="228">
        <f t="shared" si="5"/>
        <v>19.487171000000007</v>
      </c>
      <c r="B57" s="228">
        <f t="shared" si="0"/>
        <v>1.8446503225510138E-2</v>
      </c>
      <c r="C57" s="339">
        <f t="shared" ref="C57:C120" si="6">20*LOG10(SQRT($B$25/(4*PI()*A57*$B$27*$B$20)))</f>
        <v>162.4596518513921</v>
      </c>
      <c r="D57" s="339">
        <f t="shared" ref="D57:D120" si="7">8.7*$B$26/1000/B57</f>
        <v>4.7163410287802132E-2</v>
      </c>
      <c r="E57" s="339">
        <f t="shared" si="3"/>
        <v>-39.344725502600596</v>
      </c>
      <c r="F57" s="339">
        <f t="shared" ref="F57:F120" si="8">C57+D57+E57</f>
        <v>123.16208975907929</v>
      </c>
      <c r="G57" s="322"/>
      <c r="H57" s="334"/>
      <c r="I57" s="334"/>
      <c r="J57" s="322"/>
      <c r="K57" s="322"/>
      <c r="L57" s="322"/>
    </row>
    <row r="58" spans="1:13">
      <c r="A58" s="228">
        <f t="shared" si="5"/>
        <v>21.43588810000001</v>
      </c>
      <c r="B58" s="228">
        <f t="shared" si="0"/>
        <v>1.7588050727922067E-2</v>
      </c>
      <c r="C58" s="339">
        <f t="shared" si="6"/>
        <v>162.04572499980983</v>
      </c>
      <c r="D58" s="339">
        <f t="shared" si="7"/>
        <v>4.9465402019726025E-2</v>
      </c>
      <c r="E58" s="339">
        <f t="shared" si="3"/>
        <v>-38.933092654836081</v>
      </c>
      <c r="F58" s="339">
        <f t="shared" si="8"/>
        <v>123.16209774699348</v>
      </c>
      <c r="G58" s="322"/>
      <c r="H58" s="322"/>
      <c r="I58" s="322"/>
      <c r="J58" s="322"/>
      <c r="K58" s="322"/>
      <c r="L58" s="322"/>
    </row>
    <row r="59" spans="1:13">
      <c r="A59" s="228">
        <f t="shared" si="5"/>
        <v>23.579476910000015</v>
      </c>
      <c r="B59" s="228">
        <f t="shared" si="0"/>
        <v>1.6769548386827395E-2</v>
      </c>
      <c r="C59" s="339">
        <f t="shared" si="6"/>
        <v>161.63179814822757</v>
      </c>
      <c r="D59" s="339">
        <f t="shared" si="7"/>
        <v>5.1879751316582352E-2</v>
      </c>
      <c r="E59" s="339">
        <f t="shared" si="3"/>
        <v>-38.521571556971054</v>
      </c>
      <c r="F59" s="339">
        <f t="shared" si="8"/>
        <v>123.16210634257311</v>
      </c>
      <c r="G59" s="322"/>
      <c r="H59" s="331"/>
      <c r="I59" s="331"/>
      <c r="J59" s="322"/>
      <c r="K59" s="322"/>
      <c r="L59" s="322"/>
    </row>
    <row r="60" spans="1:13">
      <c r="A60" s="228">
        <f t="shared" si="5"/>
        <v>25.937424601000018</v>
      </c>
      <c r="B60" s="228">
        <f t="shared" si="0"/>
        <v>1.5989137025383692E-2</v>
      </c>
      <c r="C60" s="339">
        <f t="shared" si="6"/>
        <v>161.21787129664534</v>
      </c>
      <c r="D60" s="339">
        <f t="shared" si="7"/>
        <v>5.4411942221698643E-2</v>
      </c>
      <c r="E60" s="339">
        <f t="shared" si="3"/>
        <v>-38.110167641611106</v>
      </c>
      <c r="F60" s="339">
        <f t="shared" si="8"/>
        <v>123.16211559725593</v>
      </c>
      <c r="G60" s="322"/>
      <c r="H60" s="335"/>
      <c r="I60" s="335"/>
      <c r="J60" s="322"/>
      <c r="K60" s="322"/>
      <c r="L60" s="322"/>
    </row>
    <row r="61" spans="1:13">
      <c r="A61" s="228">
        <f t="shared" si="5"/>
        <v>28.531167061100021</v>
      </c>
      <c r="B61" s="228">
        <f t="shared" si="0"/>
        <v>1.5245043988024903E-2</v>
      </c>
      <c r="C61" s="339">
        <f t="shared" si="6"/>
        <v>160.80394444506308</v>
      </c>
      <c r="D61" s="339">
        <f t="shared" si="7"/>
        <v>5.7067726448240597E-2</v>
      </c>
      <c r="E61" s="339">
        <f t="shared" si="3"/>
        <v>-37.698886604343315</v>
      </c>
      <c r="F61" s="339">
        <f t="shared" si="8"/>
        <v>123.16212556716802</v>
      </c>
      <c r="G61" s="322"/>
      <c r="H61" s="335"/>
      <c r="I61" s="335"/>
      <c r="J61" s="322"/>
      <c r="K61" s="322"/>
      <c r="L61" s="322"/>
    </row>
    <row r="62" spans="1:13">
      <c r="A62" s="228">
        <f t="shared" si="5"/>
        <v>31.384283767210025</v>
      </c>
      <c r="B62" s="228">
        <f t="shared" si="0"/>
        <v>1.4535579113985175E-2</v>
      </c>
      <c r="C62" s="339">
        <f t="shared" si="6"/>
        <v>160.39001759348082</v>
      </c>
      <c r="D62" s="339">
        <f t="shared" si="7"/>
        <v>5.9853136443868506E-2</v>
      </c>
      <c r="E62" s="339">
        <f t="shared" si="3"/>
        <v>-37.28773441635402</v>
      </c>
      <c r="F62" s="339">
        <f t="shared" si="8"/>
        <v>123.16213631357067</v>
      </c>
      <c r="G62" s="322"/>
      <c r="H62" s="335"/>
      <c r="I62" s="335"/>
      <c r="J62" s="322"/>
      <c r="K62" s="322"/>
      <c r="L62" s="322"/>
    </row>
    <row r="63" spans="1:13">
      <c r="A63" s="228">
        <f t="shared" si="5"/>
        <v>34.522712143931031</v>
      </c>
      <c r="B63" s="228">
        <f t="shared" si="0"/>
        <v>1.3859130898204458E-2</v>
      </c>
      <c r="C63" s="339">
        <f t="shared" si="6"/>
        <v>159.97609074189856</v>
      </c>
      <c r="D63" s="339">
        <f t="shared" si="7"/>
        <v>6.2774499093064651E-2</v>
      </c>
      <c r="E63" s="339">
        <f t="shared" si="3"/>
        <v>-36.876717337641431</v>
      </c>
      <c r="F63" s="339">
        <f t="shared" si="8"/>
        <v>123.16214790335019</v>
      </c>
      <c r="G63" s="322"/>
      <c r="H63" s="335"/>
      <c r="I63" s="335"/>
      <c r="J63" s="322"/>
      <c r="K63" s="322"/>
      <c r="L63" s="322"/>
    </row>
    <row r="64" spans="1:13">
      <c r="A64" s="228">
        <f t="shared" si="5"/>
        <v>37.974983358324138</v>
      </c>
      <c r="B64" s="228">
        <f t="shared" si="0"/>
        <v>1.3214162830895613E-2</v>
      </c>
      <c r="C64" s="339">
        <f t="shared" si="6"/>
        <v>159.56216389031633</v>
      </c>
      <c r="D64" s="339">
        <f t="shared" si="7"/>
        <v>6.5838450088255368E-2</v>
      </c>
      <c r="E64" s="339">
        <f t="shared" si="3"/>
        <v>-36.465841930848256</v>
      </c>
      <c r="F64" s="339">
        <f t="shared" si="8"/>
        <v>123.16216040955632</v>
      </c>
      <c r="H64" s="229"/>
      <c r="I64" s="229"/>
    </row>
    <row r="65" spans="1:15">
      <c r="A65" s="228">
        <f t="shared" si="5"/>
        <v>41.772481694156554</v>
      </c>
      <c r="B65" s="228">
        <f t="shared" si="0"/>
        <v>1.2599209907458596E-2</v>
      </c>
      <c r="C65" s="339">
        <f t="shared" si="6"/>
        <v>159.14823703873407</v>
      </c>
      <c r="D65" s="339">
        <f t="shared" si="7"/>
        <v>6.9051949002371119E-2</v>
      </c>
      <c r="E65" s="339">
        <f t="shared" si="3"/>
        <v>-36.055115075743814</v>
      </c>
      <c r="F65" s="339">
        <f t="shared" si="8"/>
        <v>123.16217391199261</v>
      </c>
      <c r="H65" s="229"/>
      <c r="I65" s="229"/>
    </row>
    <row r="66" spans="1:15">
      <c r="A66" s="228">
        <f t="shared" si="5"/>
        <v>45.949729863572216</v>
      </c>
      <c r="B66" s="228">
        <f t="shared" si="0"/>
        <v>1.2012875300814192E-2</v>
      </c>
      <c r="C66" s="339">
        <f t="shared" si="6"/>
        <v>158.73431018715183</v>
      </c>
      <c r="D66" s="339">
        <f t="shared" si="7"/>
        <v>7.242229509708091E-2</v>
      </c>
      <c r="E66" s="339">
        <f t="shared" si="3"/>
        <v>-35.644543984383731</v>
      </c>
      <c r="F66" s="339">
        <f t="shared" si="8"/>
        <v>123.16218849786519</v>
      </c>
      <c r="H66" s="229"/>
      <c r="I66" s="229"/>
    </row>
    <row r="67" spans="1:15">
      <c r="A67" s="228">
        <f t="shared" si="5"/>
        <v>50.544702849929443</v>
      </c>
      <c r="B67" s="228">
        <f t="shared" si="0"/>
        <v>1.1453827188598721E-2</v>
      </c>
      <c r="C67" s="339">
        <f t="shared" si="6"/>
        <v>158.32038333556957</v>
      </c>
      <c r="D67" s="339">
        <f t="shared" si="7"/>
        <v>7.5957143902608257E-2</v>
      </c>
      <c r="E67" s="339">
        <f t="shared" si="3"/>
        <v>-35.234136216977788</v>
      </c>
      <c r="F67" s="339">
        <f t="shared" si="8"/>
        <v>123.16220426249438</v>
      </c>
      <c r="H67" s="229"/>
      <c r="I67" s="229"/>
    </row>
    <row r="68" spans="1:15">
      <c r="A68" s="228">
        <f t="shared" si="5"/>
        <v>55.599173134922395</v>
      </c>
      <c r="B68" s="228">
        <f t="shared" si="0"/>
        <v>1.09207957280129E-2</v>
      </c>
      <c r="C68" s="339">
        <f t="shared" si="6"/>
        <v>157.90645648398731</v>
      </c>
      <c r="D68" s="339">
        <f t="shared" si="7"/>
        <v>7.9664524606789008E-2</v>
      </c>
      <c r="E68" s="339">
        <f t="shared" si="3"/>
        <v>-34.823899698497108</v>
      </c>
      <c r="F68" s="339">
        <f t="shared" si="8"/>
        <v>123.16222131009698</v>
      </c>
      <c r="I68" s="88"/>
    </row>
    <row r="69" spans="1:15" ht="21">
      <c r="A69" s="228">
        <f t="shared" si="5"/>
        <v>61.159090448414638</v>
      </c>
      <c r="B69" s="228">
        <f t="shared" si="0"/>
        <v>1.0412570171453384E-2</v>
      </c>
      <c r="C69" s="339">
        <f t="shared" si="6"/>
        <v>157.49252963240505</v>
      </c>
      <c r="D69" s="339">
        <f t="shared" si="7"/>
        <v>8.355285829286907E-2</v>
      </c>
      <c r="E69" s="339">
        <f t="shared" si="3"/>
        <v>-34.413842736053276</v>
      </c>
      <c r="F69" s="339">
        <f t="shared" si="8"/>
        <v>123.16223975464465</v>
      </c>
      <c r="G69" s="336"/>
      <c r="H69" s="336"/>
      <c r="I69" s="336"/>
      <c r="J69" s="336"/>
      <c r="K69" s="336"/>
      <c r="L69" s="336"/>
      <c r="M69" s="336"/>
      <c r="N69" s="326"/>
      <c r="O69" s="326"/>
    </row>
    <row r="70" spans="1:15">
      <c r="A70" s="228">
        <f t="shared" si="5"/>
        <v>67.274999493256104</v>
      </c>
      <c r="B70" s="228">
        <f t="shared" si="0"/>
        <v>9.9279961163753622E-3</v>
      </c>
      <c r="C70" s="339">
        <f t="shared" si="6"/>
        <v>157.07860278082282</v>
      </c>
      <c r="D70" s="339">
        <f t="shared" si="7"/>
        <v>8.7630977067467933E-2</v>
      </c>
      <c r="E70" s="339">
        <f t="shared" si="3"/>
        <v>-34.003974037083616</v>
      </c>
      <c r="F70" s="339">
        <f t="shared" si="8"/>
        <v>123.16225972080667</v>
      </c>
      <c r="G70" s="326"/>
      <c r="H70" s="326"/>
      <c r="I70" s="326"/>
      <c r="J70" s="326"/>
      <c r="K70" s="326"/>
      <c r="L70" s="326"/>
      <c r="M70" s="326"/>
      <c r="N70" s="326"/>
      <c r="O70" s="326"/>
    </row>
    <row r="71" spans="1:15">
      <c r="A71" s="228">
        <f t="shared" si="5"/>
        <v>74.002499442581723</v>
      </c>
      <c r="B71" s="228">
        <f t="shared" si="0"/>
        <v>9.4659728831394379E-3</v>
      </c>
      <c r="C71" s="339">
        <f t="shared" si="6"/>
        <v>156.66467592924056</v>
      </c>
      <c r="D71" s="339">
        <f t="shared" si="7"/>
        <v>9.1908144122156005E-2</v>
      </c>
      <c r="E71" s="339">
        <f t="shared" si="3"/>
        <v>-33.594302728376995</v>
      </c>
      <c r="F71" s="339">
        <f t="shared" si="8"/>
        <v>123.16228134498573</v>
      </c>
      <c r="G71" s="326"/>
      <c r="H71" s="326"/>
      <c r="I71" s="326"/>
      <c r="J71" s="326"/>
      <c r="K71" s="326"/>
      <c r="L71" s="326"/>
      <c r="M71" s="326"/>
      <c r="N71" s="326"/>
      <c r="O71" s="326"/>
    </row>
    <row r="72" spans="1:15" ht="15.75">
      <c r="A72" s="228">
        <f t="shared" si="5"/>
        <v>81.402749386839901</v>
      </c>
      <c r="B72" s="228">
        <f t="shared" si="0"/>
        <v>9.0254510148866929E-3</v>
      </c>
      <c r="C72" s="339">
        <f t="shared" si="6"/>
        <v>156.25074907765833</v>
      </c>
      <c r="D72" s="339">
        <f t="shared" si="7"/>
        <v>9.6394074774214716E-2</v>
      </c>
      <c r="E72" s="339">
        <f t="shared" si="3"/>
        <v>-33.18483837597708</v>
      </c>
      <c r="F72" s="339">
        <f t="shared" si="8"/>
        <v>123.16230477645547</v>
      </c>
      <c r="G72" s="324"/>
      <c r="H72" s="325"/>
      <c r="I72" s="325"/>
      <c r="J72" s="325"/>
      <c r="K72" s="325"/>
      <c r="L72" s="325"/>
      <c r="M72" s="326"/>
      <c r="N72" s="326"/>
      <c r="O72" s="326"/>
    </row>
    <row r="73" spans="1:15" ht="15.75">
      <c r="A73" s="228">
        <f t="shared" si="5"/>
        <v>89.543024325523902</v>
      </c>
      <c r="B73" s="228">
        <f t="shared" si="0"/>
        <v>8.6054298937631255E-3</v>
      </c>
      <c r="C73" s="339">
        <f t="shared" si="6"/>
        <v>155.83682222607607</v>
      </c>
      <c r="D73" s="339">
        <f t="shared" si="7"/>
        <v>0.10109895853437159</v>
      </c>
      <c r="E73" s="339">
        <f t="shared" si="3"/>
        <v>-32.775591006000845</v>
      </c>
      <c r="F73" s="339">
        <f t="shared" si="8"/>
        <v>123.16233017860961</v>
      </c>
      <c r="G73" s="324"/>
      <c r="H73" s="325"/>
      <c r="I73" s="325"/>
      <c r="J73" s="325"/>
      <c r="K73" s="325"/>
      <c r="L73" s="325"/>
      <c r="M73" s="326"/>
      <c r="N73" s="326"/>
      <c r="O73" s="326"/>
    </row>
    <row r="74" spans="1:15" ht="15.75">
      <c r="A74" s="228">
        <f t="shared" si="5"/>
        <v>98.497326758076298</v>
      </c>
      <c r="B74" s="228">
        <f t="shared" si="0"/>
        <v>8.2049554680788117E-3</v>
      </c>
      <c r="C74" s="339">
        <f t="shared" si="6"/>
        <v>155.42289537449381</v>
      </c>
      <c r="D74" s="339">
        <f t="shared" si="7"/>
        <v>0.1060334822516362</v>
      </c>
      <c r="E74" s="339">
        <f t="shared" si="3"/>
        <v>-32.366571126410456</v>
      </c>
      <c r="F74" s="339">
        <f t="shared" si="8"/>
        <v>123.16235773033497</v>
      </c>
      <c r="G74" s="324"/>
      <c r="H74" s="325"/>
      <c r="I74" s="325"/>
      <c r="J74" s="325"/>
      <c r="K74" s="325"/>
      <c r="L74" s="325"/>
      <c r="M74" s="326"/>
      <c r="N74" s="326"/>
      <c r="O74" s="326"/>
    </row>
    <row r="75" spans="1:15">
      <c r="A75" s="228">
        <f t="shared" si="5"/>
        <v>108.34705943388394</v>
      </c>
      <c r="B75" s="228">
        <f t="shared" si="0"/>
        <v>7.8231180852392033E-3</v>
      </c>
      <c r="C75" s="339">
        <f t="shared" si="6"/>
        <v>155.00896852291157</v>
      </c>
      <c r="D75" s="339">
        <f t="shared" si="7"/>
        <v>0.11120885438780878</v>
      </c>
      <c r="E75" s="339">
        <f t="shared" si="3"/>
        <v>-31.957789749780229</v>
      </c>
      <c r="F75" s="339">
        <f t="shared" si="8"/>
        <v>123.16238762751914</v>
      </c>
      <c r="G75" s="326"/>
      <c r="H75" s="326"/>
      <c r="I75" s="326"/>
      <c r="J75" s="326"/>
      <c r="K75" s="326"/>
      <c r="L75" s="326"/>
      <c r="M75" s="326"/>
      <c r="N75" s="326"/>
      <c r="O75" s="326"/>
    </row>
    <row r="76" spans="1:15" ht="15.75">
      <c r="A76" s="228">
        <f t="shared" si="5"/>
        <v>119.18176537727234</v>
      </c>
      <c r="B76" s="228">
        <f t="shared" si="0"/>
        <v>7.4590504255261916E-3</v>
      </c>
      <c r="C76" s="339">
        <f t="shared" si="6"/>
        <v>154.59504167132931</v>
      </c>
      <c r="D76" s="339">
        <f t="shared" si="7"/>
        <v>0.11663683047679982</v>
      </c>
      <c r="E76" s="339">
        <f t="shared" si="3"/>
        <v>-31.549258417099146</v>
      </c>
      <c r="F76" s="339">
        <f t="shared" si="8"/>
        <v>123.16242008470698</v>
      </c>
      <c r="G76" s="324"/>
      <c r="H76" s="325"/>
      <c r="I76" s="325"/>
      <c r="J76" s="325"/>
      <c r="K76" s="325"/>
      <c r="L76" s="325"/>
      <c r="M76" s="326"/>
      <c r="N76" s="326"/>
      <c r="O76" s="326"/>
    </row>
    <row r="77" spans="1:15">
      <c r="A77" s="228">
        <f t="shared" si="5"/>
        <v>131.09994191499959</v>
      </c>
      <c r="B77" s="228">
        <f t="shared" si="0"/>
        <v>7.1119255320356393E-3</v>
      </c>
      <c r="C77" s="339">
        <f t="shared" si="6"/>
        <v>154.18111481974708</v>
      </c>
      <c r="D77" s="339">
        <f t="shared" si="7"/>
        <v>0.12232973982658966</v>
      </c>
      <c r="E77" s="339">
        <f t="shared" si="3"/>
        <v>-31.140989222652685</v>
      </c>
      <c r="F77" s="339">
        <f t="shared" si="8"/>
        <v>123.162455336921</v>
      </c>
      <c r="G77" s="329"/>
      <c r="H77" s="329"/>
      <c r="I77" s="326"/>
      <c r="J77" s="326"/>
      <c r="K77" s="326"/>
      <c r="L77" s="326"/>
      <c r="M77" s="326"/>
      <c r="N77" s="326"/>
      <c r="O77" s="326"/>
    </row>
    <row r="78" spans="1:15">
      <c r="A78" s="228">
        <f t="shared" si="5"/>
        <v>144.20993610649955</v>
      </c>
      <c r="B78" s="228">
        <f t="shared" si="0"/>
        <v>6.7809549322965365E-3</v>
      </c>
      <c r="C78" s="339">
        <f t="shared" si="6"/>
        <v>153.76718796816482</v>
      </c>
      <c r="D78" s="339">
        <f t="shared" si="7"/>
        <v>0.12830051352447983</v>
      </c>
      <c r="E78" s="339">
        <f t="shared" si="3"/>
        <v>-30.732994840028049</v>
      </c>
      <c r="F78" s="339">
        <f t="shared" si="8"/>
        <v>123.16249364166126</v>
      </c>
      <c r="G78" s="328"/>
      <c r="H78" s="328"/>
      <c r="I78" s="326"/>
      <c r="J78" s="326"/>
      <c r="K78" s="326"/>
      <c r="L78" s="326"/>
      <c r="M78" s="326"/>
      <c r="N78" s="326"/>
      <c r="O78" s="326"/>
    </row>
    <row r="79" spans="1:15">
      <c r="A79" s="228">
        <f t="shared" si="5"/>
        <v>158.63092971714951</v>
      </c>
      <c r="B79" s="228">
        <f t="shared" si="0"/>
        <v>6.4653868473051263E-3</v>
      </c>
      <c r="C79" s="339">
        <f t="shared" si="6"/>
        <v>153.35326111658256</v>
      </c>
      <c r="D79" s="339">
        <f t="shared" si="7"/>
        <v>0.13456271380924864</v>
      </c>
      <c r="E79" s="339">
        <f t="shared" si="3"/>
        <v>-30.325288549288963</v>
      </c>
      <c r="F79" s="339">
        <f t="shared" si="8"/>
        <v>123.16253528110286</v>
      </c>
      <c r="G79" s="328"/>
      <c r="H79" s="328"/>
      <c r="I79" s="326"/>
      <c r="J79" s="326"/>
      <c r="K79" s="326"/>
      <c r="L79" s="326"/>
      <c r="M79" s="326"/>
      <c r="N79" s="326"/>
      <c r="O79" s="326"/>
    </row>
    <row r="80" spans="1:15">
      <c r="A80" s="228">
        <f t="shared" si="5"/>
        <v>174.49402268886448</v>
      </c>
      <c r="B80" s="228">
        <f t="shared" si="0"/>
        <v>6.1645044839059426E-3</v>
      </c>
      <c r="C80" s="339">
        <f t="shared" si="6"/>
        <v>152.9393342650003</v>
      </c>
      <c r="D80" s="339">
        <f t="shared" si="7"/>
        <v>0.14113056487692782</v>
      </c>
      <c r="E80" s="339">
        <f t="shared" si="3"/>
        <v>-29.917884265366389</v>
      </c>
      <c r="F80" s="339">
        <f t="shared" si="8"/>
        <v>123.16258056451085</v>
      </c>
      <c r="G80" s="328"/>
      <c r="H80" s="328"/>
      <c r="I80" s="326"/>
      <c r="J80" s="326"/>
      <c r="K80" s="326"/>
      <c r="L80" s="326"/>
      <c r="M80" s="326"/>
      <c r="N80" s="326"/>
      <c r="O80" s="326"/>
    </row>
    <row r="81" spans="1:15">
      <c r="A81" s="228">
        <f t="shared" si="5"/>
        <v>191.94342495775095</v>
      </c>
      <c r="B81" s="228">
        <f t="shared" si="0"/>
        <v>5.8776244066410226E-3</v>
      </c>
      <c r="C81" s="339">
        <f t="shared" si="6"/>
        <v>152.52540741341807</v>
      </c>
      <c r="D81" s="339">
        <f t="shared" si="7"/>
        <v>0.14801898519017354</v>
      </c>
      <c r="E81" s="339">
        <f t="shared" si="3"/>
        <v>-29.51079656771439</v>
      </c>
      <c r="F81" s="339">
        <f t="shared" si="8"/>
        <v>123.16262983089383</v>
      </c>
      <c r="G81" s="328"/>
      <c r="H81" s="328"/>
      <c r="I81" s="326"/>
      <c r="J81" s="326"/>
      <c r="K81" s="326"/>
      <c r="L81" s="326"/>
      <c r="M81" s="326"/>
      <c r="N81" s="326"/>
      <c r="O81" s="326"/>
    </row>
    <row r="82" spans="1:15">
      <c r="A82" s="228">
        <f t="shared" si="5"/>
        <v>211.13776745352607</v>
      </c>
      <c r="B82" s="228">
        <f t="shared" si="0"/>
        <v>5.6040949853690385E-3</v>
      </c>
      <c r="C82" s="339">
        <f t="shared" si="6"/>
        <v>152.1114805618358</v>
      </c>
      <c r="D82" s="339">
        <f t="shared" si="7"/>
        <v>0.15524362136462058</v>
      </c>
      <c r="E82" s="339">
        <f t="shared" si="3"/>
        <v>-29.104040731280037</v>
      </c>
      <c r="F82" s="339">
        <f t="shared" si="8"/>
        <v>123.1626834519204</v>
      </c>
      <c r="G82" s="328"/>
      <c r="H82" s="328"/>
      <c r="I82" s="326"/>
      <c r="J82" s="326"/>
      <c r="K82" s="326"/>
      <c r="L82" s="326"/>
      <c r="M82" s="326"/>
      <c r="N82" s="326"/>
      <c r="O82" s="326"/>
    </row>
    <row r="83" spans="1:15">
      <c r="A83" s="228">
        <f t="shared" si="5"/>
        <v>232.25154419887869</v>
      </c>
      <c r="B83" s="228">
        <f t="shared" si="0"/>
        <v>5.3432949151282034E-3</v>
      </c>
      <c r="C83" s="339">
        <f t="shared" si="6"/>
        <v>151.69755371025357</v>
      </c>
      <c r="D83" s="339">
        <f t="shared" si="7"/>
        <v>0.16282088370919084</v>
      </c>
      <c r="E83" s="339">
        <f t="shared" si="3"/>
        <v>-28.697632758838797</v>
      </c>
      <c r="F83" s="339">
        <f t="shared" si="8"/>
        <v>123.16274183512398</v>
      </c>
      <c r="G83" s="328"/>
      <c r="H83" s="328"/>
      <c r="I83" s="326"/>
      <c r="J83" s="326"/>
      <c r="K83" s="326"/>
      <c r="L83" s="326"/>
      <c r="M83" s="326"/>
      <c r="N83" s="326"/>
      <c r="O83" s="326"/>
    </row>
    <row r="84" spans="1:15">
      <c r="A84" s="228">
        <f t="shared" si="5"/>
        <v>255.47669861876659</v>
      </c>
      <c r="B84" s="228">
        <f t="shared" si="0"/>
        <v>5.0946318048809437E-3</v>
      </c>
      <c r="C84" s="339">
        <f t="shared" si="6"/>
        <v>151.28362685867131</v>
      </c>
      <c r="D84" s="339">
        <f t="shared" si="7"/>
        <v>0.17076798350108266</v>
      </c>
      <c r="E84" s="339">
        <f t="shared" si="3"/>
        <v>-28.291589414746827</v>
      </c>
      <c r="F84" s="339">
        <f t="shared" si="8"/>
        <v>123.16280542742558</v>
      </c>
      <c r="G84" s="328"/>
      <c r="H84" s="328"/>
      <c r="I84" s="326"/>
      <c r="J84" s="326"/>
      <c r="K84" s="326"/>
      <c r="L84" s="326"/>
      <c r="M84" s="326"/>
      <c r="N84" s="326"/>
      <c r="O84" s="326"/>
    </row>
    <row r="85" spans="1:15">
      <c r="A85" s="228">
        <f t="shared" si="5"/>
        <v>281.02436848064326</v>
      </c>
      <c r="B85" s="228">
        <f t="shared" si="0"/>
        <v>4.857540831934729E-3</v>
      </c>
      <c r="C85" s="339">
        <f t="shared" si="6"/>
        <v>150.86970000708905</v>
      </c>
      <c r="D85" s="339">
        <f t="shared" si="7"/>
        <v>0.17910297208010997</v>
      </c>
      <c r="E85" s="339">
        <f t="shared" si="3"/>
        <v>-27.885928260163997</v>
      </c>
      <c r="F85" s="339">
        <f t="shared" si="8"/>
        <v>123.16287471900516</v>
      </c>
      <c r="G85" s="328"/>
      <c r="H85" s="328"/>
      <c r="I85" s="326"/>
      <c r="J85" s="326"/>
      <c r="K85" s="326"/>
      <c r="L85" s="326"/>
      <c r="M85" s="326"/>
      <c r="N85" s="326"/>
      <c r="O85" s="326"/>
    </row>
    <row r="86" spans="1:15">
      <c r="A86" s="228">
        <f t="shared" si="5"/>
        <v>309.12680532870763</v>
      </c>
      <c r="B86" s="228">
        <f t="shared" si="0"/>
        <v>4.6314834589826761E-3</v>
      </c>
      <c r="C86" s="339">
        <f t="shared" si="6"/>
        <v>150.45577315550679</v>
      </c>
      <c r="D86" s="339">
        <f t="shared" si="7"/>
        <v>0.18784478185119094</v>
      </c>
      <c r="E86" s="339">
        <f t="shared" si="3"/>
        <v>-27.480667689800995</v>
      </c>
      <c r="F86" s="339">
        <f t="shared" si="8"/>
        <v>123.16295024755699</v>
      </c>
      <c r="G86" s="328"/>
      <c r="H86" s="328"/>
      <c r="I86" s="326"/>
      <c r="J86" s="326"/>
      <c r="K86" s="326"/>
      <c r="L86" s="326"/>
      <c r="M86" s="326"/>
      <c r="N86" s="326"/>
      <c r="O86" s="326"/>
    </row>
    <row r="87" spans="1:15">
      <c r="A87" s="228">
        <f t="shared" si="5"/>
        <v>340.03948586157844</v>
      </c>
      <c r="B87" s="228">
        <f t="shared" si="0"/>
        <v>4.415946210849753E-3</v>
      </c>
      <c r="C87" s="339">
        <f t="shared" si="6"/>
        <v>150.04184630392456</v>
      </c>
      <c r="D87" s="339">
        <f t="shared" si="7"/>
        <v>0.19701326928812102</v>
      </c>
      <c r="E87" s="339">
        <f t="shared" si="3"/>
        <v>-27.07582697024581</v>
      </c>
      <c r="F87" s="339">
        <f t="shared" si="8"/>
        <v>123.16303260296688</v>
      </c>
      <c r="G87" s="328"/>
      <c r="H87" s="328"/>
      <c r="I87" s="326"/>
      <c r="J87" s="326"/>
      <c r="K87" s="326"/>
      <c r="L87" s="326"/>
      <c r="M87" s="326"/>
      <c r="N87" s="326"/>
      <c r="O87" s="326"/>
    </row>
    <row r="88" spans="1:15">
      <c r="A88" s="228">
        <f t="shared" si="5"/>
        <v>374.04343444773633</v>
      </c>
      <c r="B88" s="228">
        <f t="shared" si="0"/>
        <v>4.2104395081660681E-3</v>
      </c>
      <c r="C88" s="339">
        <f t="shared" si="6"/>
        <v>149.6279194523423</v>
      </c>
      <c r="D88" s="339">
        <f t="shared" si="7"/>
        <v>0.20662926003631008</v>
      </c>
      <c r="E88" s="339">
        <f t="shared" si="3"/>
        <v>-26.671426279925434</v>
      </c>
      <c r="F88" s="339">
        <f t="shared" si="8"/>
        <v>123.16312243245318</v>
      </c>
      <c r="G88" s="328"/>
      <c r="H88" s="328"/>
      <c r="I88" s="326"/>
      <c r="J88" s="326"/>
      <c r="K88" s="326"/>
      <c r="L88" s="326"/>
      <c r="M88" s="326"/>
      <c r="N88" s="326"/>
      <c r="O88" s="326"/>
    </row>
    <row r="89" spans="1:15">
      <c r="A89" s="228">
        <f t="shared" si="5"/>
        <v>411.44777789250998</v>
      </c>
      <c r="B89" s="228">
        <f t="shared" si="0"/>
        <v>4.0144965553179568E-3</v>
      </c>
      <c r="C89" s="339">
        <f t="shared" si="6"/>
        <v>149.21399260076006</v>
      </c>
      <c r="D89" s="339">
        <f t="shared" si="7"/>
        <v>0.21671459621693315</v>
      </c>
      <c r="E89" s="339">
        <f t="shared" si="3"/>
        <v>-26.267486750758621</v>
      </c>
      <c r="F89" s="339">
        <f t="shared" si="8"/>
        <v>123.16322044621839</v>
      </c>
      <c r="G89" s="328"/>
      <c r="H89" s="328"/>
      <c r="I89" s="326"/>
      <c r="J89" s="326"/>
      <c r="K89" s="326"/>
      <c r="L89" s="326"/>
      <c r="M89" s="326"/>
      <c r="N89" s="326"/>
      <c r="O89" s="326"/>
    </row>
    <row r="90" spans="1:15">
      <c r="A90" s="228">
        <f t="shared" si="5"/>
        <v>452.59255568176098</v>
      </c>
      <c r="B90" s="228">
        <f t="shared" si="0"/>
        <v>3.8276722801509708E-3</v>
      </c>
      <c r="C90" s="339">
        <f t="shared" si="6"/>
        <v>148.8000657491778</v>
      </c>
      <c r="D90" s="339">
        <f t="shared" si="7"/>
        <v>0.22729218603994109</v>
      </c>
      <c r="E90" s="339">
        <f t="shared" si="3"/>
        <v>-25.864030511556841</v>
      </c>
      <c r="F90" s="339">
        <f t="shared" si="8"/>
        <v>123.16332742366089</v>
      </c>
      <c r="G90" s="328"/>
      <c r="H90" s="328"/>
      <c r="I90" s="326"/>
      <c r="J90" s="326"/>
      <c r="K90" s="326"/>
      <c r="L90" s="326"/>
      <c r="M90" s="326"/>
      <c r="N90" s="326"/>
      <c r="O90" s="326"/>
    </row>
    <row r="91" spans="1:15">
      <c r="A91" s="228">
        <f t="shared" si="5"/>
        <v>497.8518112499371</v>
      </c>
      <c r="B91" s="228">
        <f t="shared" si="0"/>
        <v>3.649542323016325E-3</v>
      </c>
      <c r="C91" s="339">
        <f t="shared" si="6"/>
        <v>148.38613889759554</v>
      </c>
      <c r="D91" s="339">
        <f t="shared" si="7"/>
        <v>0.2383860558386264</v>
      </c>
      <c r="E91" s="339">
        <f t="shared" si="3"/>
        <v>-25.461080733229938</v>
      </c>
      <c r="F91" s="339">
        <f t="shared" si="8"/>
        <v>123.16344422020423</v>
      </c>
      <c r="G91" s="328"/>
      <c r="H91" s="328"/>
      <c r="I91" s="326"/>
      <c r="J91" s="326"/>
      <c r="K91" s="326"/>
      <c r="L91" s="326"/>
      <c r="M91" s="326"/>
      <c r="N91" s="326"/>
      <c r="O91" s="326"/>
    </row>
    <row r="92" spans="1:15">
      <c r="A92" s="228">
        <f t="shared" si="5"/>
        <v>547.63699237493086</v>
      </c>
      <c r="B92" s="228">
        <f t="shared" si="0"/>
        <v>3.4797020728645186E-3</v>
      </c>
      <c r="C92" s="339">
        <f t="shared" si="6"/>
        <v>147.97221204601331</v>
      </c>
      <c r="D92" s="339">
        <f t="shared" si="7"/>
        <v>0.25002140464393524</v>
      </c>
      <c r="E92" s="339">
        <f t="shared" si="3"/>
        <v>-25.058661675853529</v>
      </c>
      <c r="F92" s="339">
        <f t="shared" si="8"/>
        <v>123.16357177480373</v>
      </c>
      <c r="G92" s="328"/>
      <c r="H92" s="328"/>
      <c r="I92" s="326"/>
      <c r="J92" s="326"/>
      <c r="K92" s="326"/>
      <c r="L92" s="326"/>
      <c r="M92" s="326"/>
      <c r="N92" s="326"/>
      <c r="O92" s="326"/>
    </row>
    <row r="93" spans="1:15">
      <c r="A93" s="228">
        <f t="shared" si="5"/>
        <v>602.400691612424</v>
      </c>
      <c r="B93" s="228">
        <f t="shared" si="0"/>
        <v>3.3177657481966581E-3</v>
      </c>
      <c r="C93" s="339">
        <f t="shared" si="6"/>
        <v>147.55828519443105</v>
      </c>
      <c r="D93" s="339">
        <f t="shared" si="7"/>
        <v>0.26222466142248912</v>
      </c>
      <c r="E93" s="339">
        <f t="shared" si="3"/>
        <v>-24.656798737654423</v>
      </c>
      <c r="F93" s="339">
        <f t="shared" si="8"/>
        <v>123.16371111819912</v>
      </c>
      <c r="G93" s="328"/>
      <c r="H93" s="328"/>
      <c r="I93" s="326"/>
      <c r="J93" s="326"/>
      <c r="K93" s="326"/>
      <c r="L93" s="326"/>
      <c r="M93" s="326"/>
      <c r="N93" s="326"/>
      <c r="O93" s="326"/>
    </row>
    <row r="94" spans="1:15">
      <c r="A94" s="228">
        <f t="shared" si="5"/>
        <v>662.64076077366644</v>
      </c>
      <c r="B94" s="228">
        <f t="shared" si="0"/>
        <v>3.1633655207859257E-3</v>
      </c>
      <c r="C94" s="339">
        <f t="shared" si="6"/>
        <v>147.14435834284879</v>
      </c>
      <c r="D94" s="339">
        <f t="shared" si="7"/>
        <v>0.27502354510832877</v>
      </c>
      <c r="E94" s="339">
        <f t="shared" si="3"/>
        <v>-24.255518505970119</v>
      </c>
      <c r="F94" s="339">
        <f t="shared" si="8"/>
        <v>123.163863381987</v>
      </c>
      <c r="G94" s="328"/>
      <c r="H94" s="328"/>
      <c r="I94" s="326"/>
      <c r="J94" s="326"/>
      <c r="K94" s="326"/>
      <c r="L94" s="326"/>
      <c r="M94" s="326"/>
      <c r="N94" s="326"/>
      <c r="O94" s="326"/>
    </row>
    <row r="95" spans="1:15">
      <c r="A95" s="228">
        <f t="shared" si="5"/>
        <v>728.90483685103311</v>
      </c>
      <c r="B95" s="228">
        <f t="shared" si="0"/>
        <v>3.01615068017878E-3</v>
      </c>
      <c r="C95" s="339">
        <f t="shared" si="6"/>
        <v>146.73043149126656</v>
      </c>
      <c r="D95" s="339">
        <f t="shared" si="7"/>
        <v>0.28844712756473806</v>
      </c>
      <c r="E95" s="339">
        <f t="shared" si="3"/>
        <v>-23.854848810236721</v>
      </c>
      <c r="F95" s="339">
        <f t="shared" si="8"/>
        <v>123.16402980859459</v>
      </c>
      <c r="G95" s="328"/>
      <c r="H95" s="328"/>
      <c r="I95" s="326"/>
      <c r="J95" s="326"/>
      <c r="K95" s="326"/>
      <c r="L95" s="326"/>
      <c r="M95" s="326"/>
      <c r="N95" s="326"/>
      <c r="O95" s="326"/>
    </row>
    <row r="96" spans="1:15">
      <c r="A96" s="228">
        <f t="shared" si="5"/>
        <v>801.7953205361365</v>
      </c>
      <c r="B96" s="228">
        <f t="shared" si="0"/>
        <v>2.8757868370781143E-3</v>
      </c>
      <c r="C96" s="339">
        <f t="shared" si="6"/>
        <v>146.3165046396843</v>
      </c>
      <c r="D96" s="339">
        <f t="shared" si="7"/>
        <v>0.30252589961916165</v>
      </c>
      <c r="E96" s="339">
        <f t="shared" si="3"/>
        <v>-23.454818777059057</v>
      </c>
      <c r="F96" s="339">
        <f t="shared" si="8"/>
        <v>123.16421176224439</v>
      </c>
      <c r="G96" s="328"/>
      <c r="H96" s="328"/>
      <c r="I96" s="326"/>
      <c r="J96" s="326"/>
      <c r="K96" s="326"/>
      <c r="L96" s="326"/>
      <c r="M96" s="326"/>
      <c r="N96" s="326"/>
      <c r="O96" s="326"/>
    </row>
    <row r="97" spans="1:15">
      <c r="A97" s="228">
        <f t="shared" si="5"/>
        <v>881.97485258975018</v>
      </c>
      <c r="B97" s="228">
        <f t="shared" si="0"/>
        <v>2.741955163798891E-3</v>
      </c>
      <c r="C97" s="339">
        <f t="shared" si="6"/>
        <v>145.90257778810206</v>
      </c>
      <c r="D97" s="339">
        <f t="shared" si="7"/>
        <v>0.31729184032121183</v>
      </c>
      <c r="E97" s="339">
        <f t="shared" si="3"/>
        <v>-23.055458887413938</v>
      </c>
      <c r="F97" s="339">
        <f t="shared" si="8"/>
        <v>123.16441074100935</v>
      </c>
      <c r="G97" s="328"/>
      <c r="H97" s="328"/>
      <c r="I97" s="326"/>
      <c r="J97" s="326"/>
      <c r="K97" s="326"/>
      <c r="L97" s="326"/>
      <c r="M97" s="326"/>
      <c r="N97" s="326"/>
      <c r="O97" s="326"/>
    </row>
    <row r="98" spans="1:15">
      <c r="A98" s="228">
        <f t="shared" si="5"/>
        <v>970.17233784872531</v>
      </c>
      <c r="B98" s="228">
        <f t="shared" si="0"/>
        <v>2.6143516700710126E-3</v>
      </c>
      <c r="C98" s="339">
        <f t="shared" si="6"/>
        <v>145.4886509365198</v>
      </c>
      <c r="D98" s="339">
        <f t="shared" si="7"/>
        <v>0.33277848958107786</v>
      </c>
      <c r="E98" s="339">
        <f t="shared" si="3"/>
        <v>-22.656801036035624</v>
      </c>
      <c r="F98" s="339">
        <f t="shared" si="8"/>
        <v>123.16462839006525</v>
      </c>
      <c r="G98" s="328"/>
      <c r="H98" s="328"/>
      <c r="I98" s="326"/>
      <c r="J98" s="326"/>
      <c r="K98" s="326"/>
      <c r="L98" s="326"/>
      <c r="M98" s="326"/>
      <c r="N98" s="326"/>
      <c r="O98" s="326"/>
    </row>
    <row r="99" spans="1:15">
      <c r="A99" s="228">
        <f t="shared" si="5"/>
        <v>1067.189571633598</v>
      </c>
      <c r="B99" s="228">
        <f t="shared" si="0"/>
        <v>2.4926865125444457E-3</v>
      </c>
      <c r="C99" s="339">
        <f t="shared" si="6"/>
        <v>145.07472408493754</v>
      </c>
      <c r="D99" s="339">
        <f t="shared" si="7"/>
        <v>0.3490210243533331</v>
      </c>
      <c r="E99" s="339">
        <f t="shared" si="3"/>
        <v>-22.25887859302917</v>
      </c>
      <c r="F99" s="339">
        <f t="shared" si="8"/>
        <v>123.16486651626171</v>
      </c>
      <c r="G99" s="328"/>
      <c r="H99" s="328"/>
      <c r="I99" s="326"/>
      <c r="J99" s="326"/>
      <c r="K99" s="326"/>
      <c r="L99" s="326"/>
      <c r="M99" s="326"/>
      <c r="N99" s="326"/>
      <c r="O99" s="326"/>
    </row>
    <row r="100" spans="1:15">
      <c r="A100" s="228">
        <f t="shared" si="5"/>
        <v>1173.9085287969579</v>
      </c>
      <c r="B100" s="228">
        <f t="shared" si="0"/>
        <v>2.3766833364281931E-3</v>
      </c>
      <c r="C100" s="339">
        <f t="shared" si="6"/>
        <v>144.66079723335528</v>
      </c>
      <c r="D100" s="339">
        <f t="shared" si="7"/>
        <v>0.36605633853918568</v>
      </c>
      <c r="E100" s="339">
        <f t="shared" si="3"/>
        <v>-21.861726467753822</v>
      </c>
      <c r="F100" s="339">
        <f t="shared" si="8"/>
        <v>123.16512710414064</v>
      </c>
      <c r="G100" s="328"/>
      <c r="H100" s="328"/>
      <c r="I100" s="326"/>
      <c r="J100" s="326"/>
      <c r="K100" s="326"/>
      <c r="L100" s="326"/>
      <c r="M100" s="326"/>
      <c r="N100" s="326"/>
      <c r="O100" s="326"/>
    </row>
    <row r="101" spans="1:15">
      <c r="A101" s="228">
        <f t="shared" si="5"/>
        <v>1291.2993816766536</v>
      </c>
      <c r="B101" s="228">
        <f t="shared" si="0"/>
        <v>2.2660786477676784E-3</v>
      </c>
      <c r="C101" s="339">
        <f t="shared" si="6"/>
        <v>144.24687038177305</v>
      </c>
      <c r="D101" s="339">
        <f t="shared" si="7"/>
        <v>0.38392312678866636</v>
      </c>
      <c r="E101" s="339">
        <f t="shared" si="3"/>
        <v>-21.465381175013455</v>
      </c>
      <c r="F101" s="339">
        <f t="shared" si="8"/>
        <v>123.16541233354826</v>
      </c>
      <c r="G101" s="328"/>
      <c r="H101" s="328"/>
      <c r="I101" s="326"/>
      <c r="J101" s="326"/>
      <c r="K101" s="326"/>
      <c r="L101" s="326"/>
      <c r="M101" s="326"/>
      <c r="N101" s="326"/>
      <c r="O101" s="326"/>
    </row>
    <row r="102" spans="1:15">
      <c r="A102" s="228">
        <f t="shared" si="5"/>
        <v>1420.429319844319</v>
      </c>
      <c r="B102" s="228">
        <f t="shared" si="0"/>
        <v>2.1606212149347212E-3</v>
      </c>
      <c r="C102" s="339">
        <f t="shared" si="6"/>
        <v>143.83294353019079</v>
      </c>
      <c r="D102" s="339">
        <f t="shared" si="7"/>
        <v>0.40266197239310419</v>
      </c>
      <c r="E102" s="339">
        <f t="shared" si="3"/>
        <v>-21.069880903586437</v>
      </c>
      <c r="F102" s="339">
        <f t="shared" si="8"/>
        <v>123.16572459899746</v>
      </c>
      <c r="G102" s="328"/>
      <c r="H102" s="328"/>
      <c r="I102" s="326"/>
      <c r="J102" s="326"/>
      <c r="K102" s="326"/>
      <c r="L102" s="326"/>
      <c r="M102" s="326"/>
      <c r="N102" s="326"/>
      <c r="O102" s="326"/>
    </row>
    <row r="103" spans="1:15">
      <c r="A103" s="228">
        <f t="shared" si="5"/>
        <v>1562.472251828751</v>
      </c>
      <c r="B103" s="228">
        <f t="shared" si="0"/>
        <v>2.0600714979706163E-3</v>
      </c>
      <c r="C103" s="339">
        <f t="shared" si="6"/>
        <v>143.41901667860856</v>
      </c>
      <c r="D103" s="339">
        <f t="shared" si="7"/>
        <v>0.42231543946753308</v>
      </c>
      <c r="E103" s="339">
        <f t="shared" si="3"/>
        <v>-20.675265587120233</v>
      </c>
      <c r="F103" s="339">
        <f t="shared" si="8"/>
        <v>123.16606653095585</v>
      </c>
      <c r="G103" s="328"/>
      <c r="H103" s="328"/>
      <c r="I103" s="326"/>
      <c r="J103" s="326"/>
      <c r="K103" s="326"/>
      <c r="L103" s="326"/>
      <c r="M103" s="326"/>
      <c r="N103" s="326"/>
      <c r="O103" s="326"/>
    </row>
    <row r="104" spans="1:15">
      <c r="A104" s="228">
        <f t="shared" si="5"/>
        <v>1718.7194770116264</v>
      </c>
      <c r="B104" s="228">
        <f t="shared" si="0"/>
        <v>1.9642011044861099E-3</v>
      </c>
      <c r="C104" s="339">
        <f t="shared" si="6"/>
        <v>143.0050898270263</v>
      </c>
      <c r="D104" s="339">
        <f t="shared" si="7"/>
        <v>0.44292816963241471</v>
      </c>
      <c r="E104" s="339">
        <f t="shared" si="3"/>
        <v>-20.281576977408871</v>
      </c>
      <c r="F104" s="339">
        <f t="shared" si="8"/>
        <v>123.16644101924983</v>
      </c>
      <c r="G104" s="328"/>
      <c r="H104" s="328"/>
      <c r="I104" s="326"/>
      <c r="J104" s="326"/>
      <c r="K104" s="326"/>
      <c r="L104" s="326"/>
      <c r="M104" s="326"/>
      <c r="N104" s="326"/>
      <c r="O104" s="326"/>
    </row>
    <row r="105" spans="1:15">
      <c r="A105" s="228">
        <f t="shared" si="5"/>
        <v>1890.5914247127891</v>
      </c>
      <c r="B105" s="228">
        <f t="shared" si="0"/>
        <v>1.8727922708823785E-3</v>
      </c>
      <c r="C105" s="339">
        <f t="shared" si="6"/>
        <v>142.59116297544404</v>
      </c>
      <c r="D105" s="339">
        <f t="shared" si="7"/>
        <v>0.46454698341428641</v>
      </c>
      <c r="E105" s="339">
        <f t="shared" si="3"/>
        <v>-19.88885872006238</v>
      </c>
      <c r="F105" s="339">
        <f t="shared" si="8"/>
        <v>123.16685123879594</v>
      </c>
      <c r="G105" s="328"/>
      <c r="H105" s="328"/>
      <c r="I105" s="326"/>
      <c r="J105" s="326"/>
      <c r="K105" s="326"/>
      <c r="L105" s="326"/>
      <c r="M105" s="326"/>
      <c r="N105" s="326"/>
      <c r="O105" s="326"/>
    </row>
    <row r="106" spans="1:15">
      <c r="A106" s="228">
        <f t="shared" si="5"/>
        <v>2079.6505671840682</v>
      </c>
      <c r="B106" s="228">
        <f t="shared" si="0"/>
        <v>1.7856373677146453E-3</v>
      </c>
      <c r="C106" s="339">
        <f t="shared" si="6"/>
        <v>142.17723612386177</v>
      </c>
      <c r="D106" s="339">
        <f t="shared" si="7"/>
        <v>0.48722098659565621</v>
      </c>
      <c r="E106" s="339">
        <f t="shared" si="3"/>
        <v>-19.49715643256781</v>
      </c>
      <c r="F106" s="339">
        <f t="shared" si="8"/>
        <v>123.16730067788961</v>
      </c>
      <c r="G106" s="328"/>
      <c r="H106" s="328"/>
      <c r="I106" s="326"/>
      <c r="J106" s="326"/>
      <c r="K106" s="326"/>
      <c r="L106" s="326"/>
      <c r="M106" s="326"/>
      <c r="N106" s="326"/>
      <c r="O106" s="326"/>
    </row>
    <row r="107" spans="1:15">
      <c r="A107" s="228">
        <f t="shared" si="5"/>
        <v>2287.6156239024754</v>
      </c>
      <c r="B107" s="228">
        <f t="shared" si="0"/>
        <v>1.7025384280748893E-3</v>
      </c>
      <c r="C107" s="339">
        <f t="shared" si="6"/>
        <v>141.76330927227954</v>
      </c>
      <c r="D107" s="339">
        <f t="shared" si="7"/>
        <v>0.51100168175571503</v>
      </c>
      <c r="E107" s="339">
        <f t="shared" si="3"/>
        <v>-19.106517784728965</v>
      </c>
      <c r="F107" s="339">
        <f t="shared" si="8"/>
        <v>123.16779316930629</v>
      </c>
      <c r="G107" s="328"/>
      <c r="H107" s="328"/>
      <c r="I107" s="326"/>
      <c r="J107" s="326"/>
      <c r="K107" s="326"/>
      <c r="L107" s="326"/>
      <c r="M107" s="326"/>
      <c r="N107" s="326"/>
      <c r="O107" s="326"/>
    </row>
    <row r="108" spans="1:15">
      <c r="A108" s="228">
        <f t="shared" si="5"/>
        <v>2516.3771862927233</v>
      </c>
      <c r="B108" s="228">
        <f t="shared" si="0"/>
        <v>1.6233066979224045E-3</v>
      </c>
      <c r="C108" s="339">
        <f t="shared" si="6"/>
        <v>141.34938242069728</v>
      </c>
      <c r="D108" s="339">
        <f t="shared" si="7"/>
        <v>0.53594308525522194</v>
      </c>
      <c r="E108" s="339">
        <f t="shared" si="3"/>
        <v>-18.71699258145955</v>
      </c>
      <c r="F108" s="339">
        <f t="shared" si="8"/>
        <v>123.16833292449294</v>
      </c>
      <c r="G108" s="328"/>
      <c r="H108" s="328"/>
      <c r="I108" s="326"/>
      <c r="J108" s="326"/>
      <c r="K108" s="326"/>
      <c r="L108" s="326"/>
      <c r="M108" s="326"/>
      <c r="N108" s="326"/>
      <c r="O108" s="326"/>
    </row>
    <row r="109" spans="1:15">
      <c r="A109" s="228">
        <f t="shared" si="5"/>
        <v>2768.0149049219958</v>
      </c>
      <c r="B109" s="228">
        <f t="shared" si="0"/>
        <v>1.547762207340808E-3</v>
      </c>
      <c r="C109" s="339">
        <f t="shared" si="6"/>
        <v>140.93545556911505</v>
      </c>
      <c r="D109" s="339">
        <f t="shared" si="7"/>
        <v>0.56210184993128676</v>
      </c>
      <c r="E109" s="339">
        <f t="shared" si="3"/>
        <v>-18.328632847888688</v>
      </c>
      <c r="F109" s="339">
        <f t="shared" si="8"/>
        <v>123.16892457115765</v>
      </c>
      <c r="G109" s="326"/>
      <c r="H109" s="326"/>
      <c r="I109" s="326"/>
      <c r="J109" s="326"/>
      <c r="K109" s="326"/>
      <c r="L109" s="326"/>
      <c r="M109" s="326"/>
      <c r="N109" s="326"/>
      <c r="O109" s="326"/>
    </row>
    <row r="110" spans="1:15">
      <c r="A110" s="228">
        <f t="shared" si="5"/>
        <v>3044.8163954141955</v>
      </c>
      <c r="B110" s="228">
        <f t="shared" si="0"/>
        <v>1.4757333617476404E-3</v>
      </c>
      <c r="C110" s="339">
        <f t="shared" si="6"/>
        <v>140.52152871753279</v>
      </c>
      <c r="D110" s="339">
        <f t="shared" si="7"/>
        <v>0.5895373937807441</v>
      </c>
      <c r="E110" s="339">
        <f t="shared" si="3"/>
        <v>-17.941492916720815</v>
      </c>
      <c r="F110" s="339">
        <f t="shared" si="8"/>
        <v>123.16957319459272</v>
      </c>
      <c r="G110" s="330"/>
      <c r="H110" s="330"/>
      <c r="I110" s="330"/>
      <c r="J110" s="330"/>
      <c r="K110" s="330"/>
      <c r="L110" s="330"/>
      <c r="M110" s="330"/>
      <c r="N110" s="326"/>
      <c r="O110" s="326"/>
    </row>
    <row r="111" spans="1:15" ht="15" customHeight="1">
      <c r="A111" s="228">
        <f t="shared" si="5"/>
        <v>3349.2980349556155</v>
      </c>
      <c r="B111" s="228">
        <f t="shared" si="0"/>
        <v>1.4070565521280072E-3</v>
      </c>
      <c r="C111" s="339">
        <f t="shared" si="6"/>
        <v>140.10760186595053</v>
      </c>
      <c r="D111" s="339">
        <f t="shared" si="7"/>
        <v>0.61831203492441544</v>
      </c>
      <c r="E111" s="339">
        <f t="shared" si="3"/>
        <v>-17.55562951777236</v>
      </c>
      <c r="F111" s="339">
        <f t="shared" si="8"/>
        <v>123.1702843831026</v>
      </c>
      <c r="G111" s="336"/>
      <c r="H111" s="336"/>
      <c r="I111" s="336"/>
      <c r="J111" s="336"/>
      <c r="K111" s="336"/>
      <c r="L111" s="336"/>
      <c r="M111" s="336"/>
      <c r="N111" s="326"/>
      <c r="O111" s="326"/>
    </row>
    <row r="112" spans="1:15">
      <c r="A112" s="228">
        <f t="shared" si="5"/>
        <v>3684.2278384511774</v>
      </c>
      <c r="B112" s="228">
        <f t="shared" si="0"/>
        <v>1.3415757834069455E-3</v>
      </c>
      <c r="C112" s="339">
        <f t="shared" si="6"/>
        <v>139.6936750143683</v>
      </c>
      <c r="D112" s="339">
        <f t="shared" si="7"/>
        <v>0.64849113315881868</v>
      </c>
      <c r="E112" s="339">
        <f t="shared" si="3"/>
        <v>-17.171101869585563</v>
      </c>
      <c r="F112" s="339">
        <f t="shared" si="8"/>
        <v>123.17106427794155</v>
      </c>
      <c r="G112" s="326"/>
      <c r="H112" s="326"/>
      <c r="I112" s="326"/>
      <c r="J112" s="326"/>
      <c r="K112" s="326"/>
      <c r="L112" s="326"/>
      <c r="M112" s="326"/>
      <c r="N112" s="326"/>
      <c r="O112" s="326"/>
    </row>
    <row r="113" spans="1:15">
      <c r="A113" s="228">
        <f t="shared" si="5"/>
        <v>4052.6506222962953</v>
      </c>
      <c r="B113" s="228">
        <f t="shared" si="0"/>
        <v>1.2791423201163703E-3</v>
      </c>
      <c r="C113" s="339">
        <f t="shared" si="6"/>
        <v>139.27974816278603</v>
      </c>
      <c r="D113" s="339">
        <f t="shared" si="7"/>
        <v>0.68014323841685698</v>
      </c>
      <c r="E113" s="339">
        <f t="shared" si="3"/>
        <v>-16.787971772994908</v>
      </c>
      <c r="F113" s="339">
        <f t="shared" si="8"/>
        <v>123.17191962820799</v>
      </c>
      <c r="G113" s="326"/>
      <c r="H113" s="326"/>
      <c r="I113" s="326"/>
      <c r="J113" s="326"/>
      <c r="K113" s="326"/>
      <c r="L113" s="326"/>
      <c r="M113" s="326"/>
      <c r="N113" s="326"/>
      <c r="O113" s="326"/>
    </row>
    <row r="114" spans="1:15" ht="15.75">
      <c r="A114" s="228">
        <f t="shared" si="5"/>
        <v>4457.9156845259249</v>
      </c>
      <c r="B114" s="228">
        <f t="shared" si="0"/>
        <v>1.2196143485517686E-3</v>
      </c>
      <c r="C114" s="339">
        <f t="shared" si="6"/>
        <v>138.8658213112038</v>
      </c>
      <c r="D114" s="339">
        <f t="shared" si="7"/>
        <v>0.71334024647470062</v>
      </c>
      <c r="E114" s="339">
        <f t="shared" si="3"/>
        <v>-16.406303706493723</v>
      </c>
      <c r="F114" s="339">
        <f t="shared" si="8"/>
        <v>123.17285785118477</v>
      </c>
      <c r="G114" s="324"/>
      <c r="H114" s="325"/>
      <c r="I114" s="325"/>
      <c r="J114" s="325"/>
      <c r="K114" s="325"/>
      <c r="L114" s="325"/>
      <c r="M114" s="326"/>
      <c r="N114" s="326"/>
      <c r="O114" s="326"/>
    </row>
    <row r="115" spans="1:15" ht="15.75">
      <c r="A115" s="228">
        <f t="shared" si="5"/>
        <v>4903.7072529785182</v>
      </c>
      <c r="B115" s="228">
        <f t="shared" ref="B115:B178" si="9">1/SQRT(PI()*A115*$B$21*$B$27*$B$25)</f>
        <v>1.1628566546512456E-3</v>
      </c>
      <c r="C115" s="339">
        <f t="shared" si="6"/>
        <v>138.45189445962154</v>
      </c>
      <c r="D115" s="339">
        <f t="shared" si="7"/>
        <v>0.74815756225854269</v>
      </c>
      <c r="E115" s="339">
        <f t="shared" ref="E115:E178" si="10">20*LOG10(1-EXP(-2*($B$26/1000)/B115))</f>
        <v>-16.026164923217141</v>
      </c>
      <c r="F115" s="339">
        <f t="shared" si="8"/>
        <v>123.17388709866295</v>
      </c>
      <c r="G115" s="324"/>
      <c r="H115" s="325"/>
      <c r="I115" s="325"/>
      <c r="J115" s="325"/>
      <c r="K115" s="325"/>
      <c r="L115" s="325"/>
      <c r="M115" s="326"/>
      <c r="N115" s="326"/>
      <c r="O115" s="326"/>
    </row>
    <row r="116" spans="1:15" ht="15.75">
      <c r="A116" s="228">
        <f t="shared" si="5"/>
        <v>5394.0779782763702</v>
      </c>
      <c r="B116" s="228">
        <f t="shared" si="9"/>
        <v>1.1087403168652441E-3</v>
      </c>
      <c r="C116" s="339">
        <f t="shared" si="6"/>
        <v>138.03796760803928</v>
      </c>
      <c r="D116" s="339">
        <f t="shared" si="7"/>
        <v>0.7846742711221707</v>
      </c>
      <c r="E116" s="339">
        <f t="shared" si="10"/>
        <v>-15.64762554932244</v>
      </c>
      <c r="F116" s="339">
        <f t="shared" si="8"/>
        <v>123.175016329839</v>
      </c>
      <c r="G116" s="324"/>
      <c r="H116" s="325"/>
      <c r="I116" s="325"/>
      <c r="J116" s="325"/>
      <c r="K116" s="325"/>
      <c r="L116" s="325"/>
      <c r="M116" s="326"/>
      <c r="N116" s="326"/>
      <c r="O116" s="326"/>
    </row>
    <row r="117" spans="1:15" s="235" customFormat="1">
      <c r="A117" s="228">
        <f t="shared" ref="A117:A180" si="11">A116*1.1</f>
        <v>5933.4857761040075</v>
      </c>
      <c r="B117" s="228">
        <f t="shared" si="9"/>
        <v>1.0571424133193142E-3</v>
      </c>
      <c r="C117" s="339">
        <f t="shared" si="6"/>
        <v>137.62404075645702</v>
      </c>
      <c r="D117" s="339">
        <f t="shared" si="7"/>
        <v>0.82297331848439703</v>
      </c>
      <c r="E117" s="339">
        <f t="shared" si="10"/>
        <v>-15.270758683508767</v>
      </c>
      <c r="F117" s="339">
        <f t="shared" si="8"/>
        <v>123.17625539143265</v>
      </c>
      <c r="G117" s="326"/>
      <c r="H117" s="326"/>
      <c r="I117" s="326"/>
      <c r="J117" s="326"/>
      <c r="K117" s="326"/>
      <c r="L117" s="326"/>
      <c r="M117" s="326"/>
      <c r="N117" s="330"/>
      <c r="O117" s="330"/>
    </row>
    <row r="118" spans="1:15">
      <c r="A118" s="228">
        <f t="shared" si="11"/>
        <v>6526.8343537144092</v>
      </c>
      <c r="B118" s="228">
        <f t="shared" si="9"/>
        <v>1.0079457426047673E-3</v>
      </c>
      <c r="C118" s="339">
        <f t="shared" si="6"/>
        <v>137.21011390487479</v>
      </c>
      <c r="D118" s="339">
        <f t="shared" si="7"/>
        <v>0.8631416982343878</v>
      </c>
      <c r="E118" s="339">
        <f t="shared" si="10"/>
        <v>-14.895640497374274</v>
      </c>
      <c r="F118" s="339">
        <f t="shared" si="8"/>
        <v>123.1776151057349</v>
      </c>
      <c r="G118" s="326"/>
      <c r="H118" s="326"/>
      <c r="I118" s="326"/>
      <c r="J118" s="326"/>
      <c r="K118" s="326"/>
      <c r="L118" s="326"/>
      <c r="M118" s="326"/>
      <c r="N118" s="326"/>
      <c r="O118" s="326"/>
    </row>
    <row r="119" spans="1:15" s="322" customFormat="1">
      <c r="A119" s="228">
        <f t="shared" si="11"/>
        <v>7179.5177890858504</v>
      </c>
      <c r="B119" s="228">
        <f t="shared" si="9"/>
        <v>9.6103855756301279E-4</v>
      </c>
      <c r="C119" s="339">
        <f t="shared" si="6"/>
        <v>136.79618705329253</v>
      </c>
      <c r="D119" s="339">
        <f t="shared" si="7"/>
        <v>0.90527065033283682</v>
      </c>
      <c r="E119" s="339">
        <f t="shared" si="10"/>
        <v>-14.522350336260303</v>
      </c>
      <c r="F119" s="339">
        <f t="shared" si="8"/>
        <v>123.17910736736505</v>
      </c>
      <c r="G119" s="326"/>
      <c r="H119" s="326"/>
      <c r="I119" s="326"/>
      <c r="J119" s="326"/>
      <c r="K119" s="326"/>
      <c r="L119" s="326"/>
      <c r="M119" s="326"/>
      <c r="N119" s="326"/>
      <c r="O119" s="326"/>
    </row>
    <row r="120" spans="1:15" s="322" customFormat="1">
      <c r="A120" s="228">
        <f t="shared" si="11"/>
        <v>7897.4695679944361</v>
      </c>
      <c r="B120" s="228">
        <f t="shared" si="9"/>
        <v>9.1631431145887919E-4</v>
      </c>
      <c r="C120" s="339">
        <f t="shared" si="6"/>
        <v>136.3822602017103</v>
      </c>
      <c r="D120" s="339">
        <f t="shared" si="7"/>
        <v>0.94945586805782678</v>
      </c>
      <c r="E120" s="339">
        <f t="shared" si="10"/>
        <v>-14.150970820178049</v>
      </c>
      <c r="F120" s="339">
        <f t="shared" si="8"/>
        <v>123.18074524959009</v>
      </c>
      <c r="G120" s="326"/>
      <c r="H120" s="326"/>
      <c r="I120" s="326"/>
      <c r="J120" s="326"/>
      <c r="K120" s="326"/>
      <c r="L120" s="326"/>
      <c r="M120" s="326"/>
      <c r="N120" s="326"/>
      <c r="O120" s="326"/>
    </row>
    <row r="121" spans="1:15" s="322" customFormat="1">
      <c r="A121" s="228">
        <f t="shared" si="11"/>
        <v>8687.216524793881</v>
      </c>
      <c r="B121" s="228">
        <f t="shared" si="9"/>
        <v>8.7367141596637519E-4</v>
      </c>
      <c r="C121" s="339">
        <f t="shared" ref="C121:C133" si="12">20*LOG10(SQRT($B$25/(4*PI()*A121*$B$27*$B$20)))</f>
        <v>135.96833335012803</v>
      </c>
      <c r="D121" s="339">
        <f t="shared" ref="D121:D133" si="13">8.7*$B$26/1000/B121</f>
        <v>0.99579771536612061</v>
      </c>
      <c r="E121" s="339">
        <f t="shared" si="10"/>
        <v>-13.781587944353451</v>
      </c>
      <c r="F121" s="339">
        <f t="shared" ref="F121:F133" si="14">C121+D121+E121</f>
        <v>123.1825431211407</v>
      </c>
      <c r="G121" s="326"/>
      <c r="H121" s="326"/>
      <c r="I121" s="326"/>
      <c r="J121" s="326"/>
      <c r="K121" s="326"/>
      <c r="L121" s="326"/>
      <c r="M121" s="326"/>
      <c r="N121" s="326"/>
      <c r="O121" s="326"/>
    </row>
    <row r="122" spans="1:15" s="322" customFormat="1">
      <c r="A122" s="228">
        <f t="shared" si="11"/>
        <v>9555.9381772732704</v>
      </c>
      <c r="B122" s="228">
        <f t="shared" si="9"/>
        <v>8.3301301041716286E-4</v>
      </c>
      <c r="C122" s="339">
        <f t="shared" si="12"/>
        <v>135.55440649854577</v>
      </c>
      <c r="D122" s="339">
        <f t="shared" si="13"/>
        <v>1.0444014548636096</v>
      </c>
      <c r="E122" s="339">
        <f t="shared" si="10"/>
        <v>-13.414291178859472</v>
      </c>
      <c r="F122" s="339">
        <f t="shared" si="14"/>
        <v>123.18451677454992</v>
      </c>
      <c r="G122" s="327"/>
      <c r="H122" s="326"/>
      <c r="I122" s="326"/>
      <c r="J122" s="326"/>
      <c r="K122" s="326"/>
      <c r="L122" s="326"/>
      <c r="M122" s="326"/>
      <c r="N122" s="326"/>
      <c r="O122" s="326"/>
    </row>
    <row r="123" spans="1:15" s="322" customFormat="1">
      <c r="A123" s="228">
        <f t="shared" si="11"/>
        <v>10511.531995000598</v>
      </c>
      <c r="B123" s="228">
        <f t="shared" si="9"/>
        <v>7.9424674178761362E-4</v>
      </c>
      <c r="C123" s="339">
        <f t="shared" si="12"/>
        <v>135.14047964696351</v>
      </c>
      <c r="D123" s="339">
        <f t="shared" si="13"/>
        <v>1.0953774869027328</v>
      </c>
      <c r="E123" s="339">
        <f t="shared" si="10"/>
        <v>-13.04917356673216</v>
      </c>
      <c r="F123" s="339">
        <f t="shared" si="14"/>
        <v>123.18668356713407</v>
      </c>
      <c r="G123" s="323"/>
    </row>
    <row r="124" spans="1:15" s="322" customFormat="1">
      <c r="A124" s="228">
        <f t="shared" si="11"/>
        <v>11562.685194500658</v>
      </c>
      <c r="B124" s="228">
        <f t="shared" si="9"/>
        <v>7.5728455492469343E-4</v>
      </c>
      <c r="C124" s="339">
        <f t="shared" si="12"/>
        <v>134.72655279538128</v>
      </c>
      <c r="D124" s="339">
        <f t="shared" si="13"/>
        <v>1.1488416003499706</v>
      </c>
      <c r="E124" s="339">
        <f t="shared" si="10"/>
        <v>-12.686331819885767</v>
      </c>
      <c r="F124" s="339">
        <f t="shared" si="14"/>
        <v>123.1890625758455</v>
      </c>
      <c r="G124" s="323"/>
    </row>
    <row r="125" spans="1:15" s="322" customFormat="1">
      <c r="A125" s="228">
        <f t="shared" si="11"/>
        <v>12718.953713950725</v>
      </c>
      <c r="B125" s="228">
        <f t="shared" si="9"/>
        <v>7.220424925341942E-4</v>
      </c>
      <c r="C125" s="339">
        <f t="shared" si="12"/>
        <v>134.31262594379902</v>
      </c>
      <c r="D125" s="339">
        <f t="shared" si="13"/>
        <v>1.2049152355930062</v>
      </c>
      <c r="E125" s="339">
        <f t="shared" si="10"/>
        <v>-12.325866412053777</v>
      </c>
      <c r="F125" s="339">
        <f t="shared" si="14"/>
        <v>123.19167476733824</v>
      </c>
      <c r="G125" s="323"/>
    </row>
    <row r="126" spans="1:15" s="322" customFormat="1">
      <c r="A126" s="228">
        <f t="shared" si="11"/>
        <v>13990.849085345799</v>
      </c>
      <c r="B126" s="228">
        <f t="shared" si="9"/>
        <v>6.8844050447699405E-4</v>
      </c>
      <c r="C126" s="339">
        <f t="shared" si="12"/>
        <v>133.89869909221679</v>
      </c>
      <c r="D126" s="339">
        <f t="shared" si="13"/>
        <v>1.2637257603849676</v>
      </c>
      <c r="E126" s="339">
        <f t="shared" si="10"/>
        <v>-11.967881667884988</v>
      </c>
      <c r="F126" s="339">
        <f t="shared" si="14"/>
        <v>123.19454318471676</v>
      </c>
      <c r="G126" s="323"/>
    </row>
    <row r="127" spans="1:15" s="322" customFormat="1">
      <c r="A127" s="228">
        <f t="shared" si="11"/>
        <v>15389.933993880381</v>
      </c>
      <c r="B127" s="228">
        <f t="shared" si="9"/>
        <v>6.564022659401765E-4</v>
      </c>
      <c r="C127" s="339">
        <f t="shared" si="12"/>
        <v>133.48477224063453</v>
      </c>
      <c r="D127" s="339">
        <f t="shared" si="13"/>
        <v>1.3254067591523069</v>
      </c>
      <c r="E127" s="339">
        <f t="shared" si="10"/>
        <v>-11.612485847217144</v>
      </c>
      <c r="F127" s="339">
        <f t="shared" si="14"/>
        <v>123.1976931525697</v>
      </c>
      <c r="G127" s="323"/>
    </row>
    <row r="128" spans="1:15" s="322" customFormat="1">
      <c r="A128" s="228">
        <f t="shared" si="11"/>
        <v>16928.927393268419</v>
      </c>
      <c r="B128" s="228">
        <f t="shared" si="9"/>
        <v>6.2585500406999437E-4</v>
      </c>
      <c r="C128" s="339">
        <f t="shared" si="12"/>
        <v>133.07084538905227</v>
      </c>
      <c r="D128" s="339">
        <f t="shared" si="13"/>
        <v>1.3900983364234649</v>
      </c>
      <c r="E128" s="339">
        <f t="shared" si="10"/>
        <v>-11.259791223433847</v>
      </c>
      <c r="F128" s="339">
        <f t="shared" si="14"/>
        <v>123.20115250204189</v>
      </c>
      <c r="G128" s="323"/>
    </row>
    <row r="129" spans="1:7" s="322" customFormat="1">
      <c r="A129" s="228">
        <f t="shared" si="11"/>
        <v>18621.820132595261</v>
      </c>
      <c r="B129" s="228">
        <f t="shared" si="9"/>
        <v>5.9672933267288766E-4</v>
      </c>
      <c r="C129" s="339">
        <f t="shared" si="12"/>
        <v>132.65691853747003</v>
      </c>
      <c r="D129" s="339">
        <f t="shared" si="13"/>
        <v>1.4579474350675377</v>
      </c>
      <c r="E129" s="339">
        <f t="shared" si="10"/>
        <v>-10.909914154683136</v>
      </c>
      <c r="F129" s="339">
        <f t="shared" si="14"/>
        <v>123.20495181785442</v>
      </c>
      <c r="G129" s="323"/>
    </row>
    <row r="130" spans="1:7" s="322" customFormat="1">
      <c r="A130" s="228">
        <f t="shared" si="11"/>
        <v>20484.002145854789</v>
      </c>
      <c r="B130" s="228">
        <f t="shared" si="9"/>
        <v>5.6895909460908593E-4</v>
      </c>
      <c r="C130" s="339">
        <f t="shared" si="12"/>
        <v>132.24299168588777</v>
      </c>
      <c r="D130" s="339">
        <f t="shared" si="13"/>
        <v>1.5291081700658109</v>
      </c>
      <c r="E130" s="339">
        <f t="shared" si="10"/>
        <v>-10.562975146597744</v>
      </c>
      <c r="F130" s="339">
        <f t="shared" si="14"/>
        <v>123.20912470935582</v>
      </c>
      <c r="G130" s="323"/>
    </row>
    <row r="131" spans="1:7" s="322" customFormat="1">
      <c r="A131" s="228">
        <f t="shared" si="11"/>
        <v>22532.402360440268</v>
      </c>
      <c r="B131" s="228">
        <f t="shared" si="9"/>
        <v>5.4248121152080699E-4</v>
      </c>
      <c r="C131" s="339">
        <f t="shared" si="12"/>
        <v>131.82906483430551</v>
      </c>
      <c r="D131" s="339">
        <f t="shared" si="13"/>
        <v>1.6037421785742914</v>
      </c>
      <c r="E131" s="339">
        <f t="shared" si="10"/>
        <v>-10.219098905007018</v>
      </c>
      <c r="F131" s="339">
        <f t="shared" si="14"/>
        <v>123.21370810787279</v>
      </c>
      <c r="G131" s="323"/>
    </row>
    <row r="132" spans="1:7" s="322" customFormat="1">
      <c r="A132" s="228">
        <f t="shared" si="11"/>
        <v>24785.642596484297</v>
      </c>
      <c r="B132" s="228">
        <f t="shared" si="9"/>
        <v>5.1723554055371442E-4</v>
      </c>
      <c r="C132" s="339">
        <f t="shared" si="12"/>
        <v>131.41513798272328</v>
      </c>
      <c r="D132" s="339">
        <f t="shared" si="13"/>
        <v>1.6820189870723923</v>
      </c>
      <c r="E132" s="339">
        <f t="shared" si="10"/>
        <v>-9.8784143769679158</v>
      </c>
      <c r="F132" s="339">
        <f t="shared" si="14"/>
        <v>123.21874259282775</v>
      </c>
      <c r="G132" s="323"/>
    </row>
    <row r="133" spans="1:7" s="322" customFormat="1">
      <c r="A133" s="228">
        <f t="shared" si="11"/>
        <v>27264.206856132729</v>
      </c>
      <c r="B133" s="228">
        <f t="shared" si="9"/>
        <v>4.9316473774618818E-4</v>
      </c>
      <c r="C133" s="339">
        <f t="shared" si="12"/>
        <v>131.00121113114102</v>
      </c>
      <c r="D133" s="339">
        <f t="shared" si="13"/>
        <v>1.7641163964317206</v>
      </c>
      <c r="E133" s="339">
        <f t="shared" si="10"/>
        <v>-9.541054778268002</v>
      </c>
      <c r="F133" s="339">
        <f t="shared" si="14"/>
        <v>123.22427274930473</v>
      </c>
      <c r="G133" s="323"/>
    </row>
    <row r="134" spans="1:7" s="322" customFormat="1">
      <c r="A134" s="228">
        <f t="shared" si="11"/>
        <v>29990.627541746006</v>
      </c>
      <c r="B134" s="228">
        <f t="shared" si="9"/>
        <v>4.7021412777610398E-4</v>
      </c>
      <c r="C134" s="339">
        <f t="shared" ref="C134:C197" si="15">20*LOG10(SQRT($B$25/(4*PI()*A134*$B$27*$B$20)))</f>
        <v>130.58728427955879</v>
      </c>
      <c r="D134" s="339">
        <f t="shared" ref="D134:D197" si="16">8.7*$B$26/1000/B134</f>
        <v>1.8502208857796316</v>
      </c>
      <c r="E134" s="339">
        <f t="shared" si="10"/>
        <v>-9.2071576053655093</v>
      </c>
      <c r="F134" s="339">
        <f t="shared" ref="F134:F197" si="17">C134+D134+E134</f>
        <v>123.23034755997291</v>
      </c>
      <c r="G134" s="323"/>
    </row>
    <row r="135" spans="1:7" s="322" customFormat="1">
      <c r="A135" s="228">
        <f t="shared" si="11"/>
        <v>32989.690295920605</v>
      </c>
      <c r="B135" s="228">
        <f t="shared" si="9"/>
        <v>4.483315797692619E-4</v>
      </c>
      <c r="C135" s="339">
        <f t="shared" si="15"/>
        <v>130.17335742797653</v>
      </c>
      <c r="D135" s="339">
        <f t="shared" si="16"/>
        <v>1.9405280360748929</v>
      </c>
      <c r="E135" s="339">
        <f t="shared" si="10"/>
        <v>-8.8768646295312585</v>
      </c>
      <c r="F135" s="339">
        <f t="shared" si="17"/>
        <v>123.23702083452015</v>
      </c>
      <c r="G135" s="323"/>
    </row>
    <row r="136" spans="1:7" s="322" customFormat="1">
      <c r="A136" s="228">
        <f t="shared" si="11"/>
        <v>36288.659325512672</v>
      </c>
      <c r="B136" s="228">
        <f t="shared" si="9"/>
        <v>4.2746738888736719E-4</v>
      </c>
      <c r="C136" s="339">
        <f t="shared" si="15"/>
        <v>129.75943057639427</v>
      </c>
      <c r="D136" s="339">
        <f t="shared" si="16"/>
        <v>2.0352429743575953</v>
      </c>
      <c r="E136" s="339">
        <f t="shared" si="10"/>
        <v>-8.5503218707440301</v>
      </c>
      <c r="F136" s="339">
        <f t="shared" si="17"/>
        <v>123.24435168000784</v>
      </c>
      <c r="G136" s="323"/>
    </row>
    <row r="137" spans="1:7" s="322" customFormat="1">
      <c r="A137" s="228">
        <f t="shared" si="11"/>
        <v>39917.525258063943</v>
      </c>
      <c r="B137" s="228">
        <f t="shared" si="9"/>
        <v>4.0757416342660169E-4</v>
      </c>
      <c r="C137" s="339">
        <f t="shared" si="15"/>
        <v>129.345503724812</v>
      </c>
      <c r="D137" s="339">
        <f t="shared" si="16"/>
        <v>2.1345808396823824</v>
      </c>
      <c r="E137" s="339">
        <f t="shared" si="10"/>
        <v>-8.2276795486659751</v>
      </c>
      <c r="F137" s="339">
        <f t="shared" si="17"/>
        <v>123.2524050158284</v>
      </c>
      <c r="G137" s="323"/>
    </row>
    <row r="138" spans="1:7" s="322" customFormat="1">
      <c r="A138" s="228">
        <f t="shared" si="11"/>
        <v>43909.27778387034</v>
      </c>
      <c r="B138" s="228">
        <f t="shared" si="9"/>
        <v>3.8860671717033386E-4</v>
      </c>
      <c r="C138" s="339">
        <f t="shared" si="15"/>
        <v>128.93157687322977</v>
      </c>
      <c r="D138" s="339">
        <f t="shared" si="16"/>
        <v>2.2387672717933542</v>
      </c>
      <c r="E138" s="339">
        <f t="shared" si="10"/>
        <v>-7.9090920077879909</v>
      </c>
      <c r="F138" s="339">
        <f t="shared" si="17"/>
        <v>123.26125213723515</v>
      </c>
      <c r="G138" s="323"/>
    </row>
    <row r="139" spans="1:7" s="322" customFormat="1">
      <c r="A139" s="228">
        <f t="shared" si="11"/>
        <v>48300.205562257375</v>
      </c>
      <c r="B139" s="228">
        <f t="shared" si="9"/>
        <v>3.7052196675145603E-4</v>
      </c>
      <c r="C139" s="339">
        <f t="shared" si="15"/>
        <v>128.51765002164751</v>
      </c>
      <c r="D139" s="339">
        <f t="shared" si="16"/>
        <v>2.3480389236506212</v>
      </c>
      <c r="E139" s="339">
        <f t="shared" si="10"/>
        <v>-7.594717613588891</v>
      </c>
      <c r="F139" s="339">
        <f t="shared" si="17"/>
        <v>123.27097133170923</v>
      </c>
      <c r="G139" s="323"/>
    </row>
    <row r="140" spans="1:7" s="322" customFormat="1">
      <c r="A140" s="228">
        <f t="shared" si="11"/>
        <v>53130.226118483115</v>
      </c>
      <c r="B140" s="228">
        <f t="shared" si="9"/>
        <v>3.5327883379121251E-4</v>
      </c>
      <c r="C140" s="339">
        <f t="shared" si="15"/>
        <v>128.10372317006528</v>
      </c>
      <c r="D140" s="339">
        <f t="shared" si="16"/>
        <v>2.4626439989726903</v>
      </c>
      <c r="E140" s="339">
        <f t="shared" si="10"/>
        <v>-7.2847186162979982</v>
      </c>
      <c r="F140" s="339">
        <f t="shared" si="17"/>
        <v>123.28164855273997</v>
      </c>
      <c r="G140" s="323"/>
    </row>
    <row r="141" spans="1:7" s="322" customFormat="1">
      <c r="A141" s="228">
        <f t="shared" si="11"/>
        <v>58443.248730331434</v>
      </c>
      <c r="B141" s="228">
        <f t="shared" si="9"/>
        <v>3.3683815159223275E-4</v>
      </c>
      <c r="C141" s="339">
        <f t="shared" si="15"/>
        <v>127.68979631848302</v>
      </c>
      <c r="D141" s="339">
        <f t="shared" si="16"/>
        <v>2.5828428160156833</v>
      </c>
      <c r="E141" s="339">
        <f t="shared" si="10"/>
        <v>-6.9792609785915243</v>
      </c>
      <c r="F141" s="339">
        <f t="shared" si="17"/>
        <v>123.29337815590716</v>
      </c>
      <c r="G141" s="323"/>
    </row>
    <row r="142" spans="1:7" s="322" customFormat="1">
      <c r="A142" s="228">
        <f t="shared" si="11"/>
        <v>64287.573603364581</v>
      </c>
      <c r="B142" s="228">
        <f t="shared" si="9"/>
        <v>3.2116257617382951E-4</v>
      </c>
      <c r="C142" s="339">
        <f t="shared" si="15"/>
        <v>127.27586946690076</v>
      </c>
      <c r="D142" s="339">
        <f t="shared" si="16"/>
        <v>2.7089083988699598</v>
      </c>
      <c r="E142" s="339">
        <f t="shared" si="10"/>
        <v>-6.6785141632923484</v>
      </c>
      <c r="F142" s="339">
        <f t="shared" si="17"/>
        <v>123.30626370247838</v>
      </c>
      <c r="G142" s="323"/>
    </row>
    <row r="143" spans="1:7" s="322" customFormat="1">
      <c r="A143" s="228">
        <f t="shared" si="11"/>
        <v>70716.330963701039</v>
      </c>
      <c r="B143" s="228">
        <f t="shared" si="9"/>
        <v>3.0621650144748434E-4</v>
      </c>
      <c r="C143" s="339">
        <f t="shared" si="15"/>
        <v>126.86194261531851</v>
      </c>
      <c r="D143" s="339">
        <f t="shared" si="16"/>
        <v>2.8411270976172514</v>
      </c>
      <c r="E143" s="339">
        <f t="shared" si="10"/>
        <v>-6.3826508768854042</v>
      </c>
      <c r="F143" s="339">
        <f t="shared" si="17"/>
        <v>123.32041883605035</v>
      </c>
      <c r="G143" s="323"/>
    </row>
    <row r="144" spans="1:7" s="322" customFormat="1">
      <c r="A144" s="228">
        <f t="shared" si="11"/>
        <v>77787.964060071143</v>
      </c>
      <c r="B144" s="228">
        <f t="shared" si="9"/>
        <v>2.9196597833984505E-4</v>
      </c>
      <c r="C144" s="339">
        <f t="shared" si="15"/>
        <v>126.44801576373627</v>
      </c>
      <c r="D144" s="339">
        <f t="shared" si="16"/>
        <v>2.9797992387569554</v>
      </c>
      <c r="E144" s="339">
        <f t="shared" si="10"/>
        <v>-6.0918467644124519</v>
      </c>
      <c r="F144" s="339">
        <f t="shared" si="17"/>
        <v>123.33596823808077</v>
      </c>
      <c r="G144" s="323"/>
    </row>
    <row r="145" spans="1:7" s="322" customFormat="1">
      <c r="A145" s="228">
        <f t="shared" si="11"/>
        <v>85566.760466078267</v>
      </c>
      <c r="B145" s="228">
        <f t="shared" si="9"/>
        <v>2.7837863767953116E-4</v>
      </c>
      <c r="C145" s="339">
        <f t="shared" si="15"/>
        <v>126.03408891215402</v>
      </c>
      <c r="D145" s="339">
        <f t="shared" si="16"/>
        <v>3.1252398073789771</v>
      </c>
      <c r="E145" s="339">
        <f t="shared" si="10"/>
        <v>-5.8062800510787058</v>
      </c>
      <c r="F145" s="339">
        <f t="shared" si="17"/>
        <v>123.35304866845429</v>
      </c>
      <c r="G145" s="323"/>
    </row>
    <row r="146" spans="1:7" s="322" customFormat="1">
      <c r="A146" s="228">
        <f t="shared" si="11"/>
        <v>94123.436512686108</v>
      </c>
      <c r="B146" s="228">
        <f t="shared" si="9"/>
        <v>2.6542361667258635E-4</v>
      </c>
      <c r="C146" s="339">
        <f t="shared" si="15"/>
        <v>125.62016206057177</v>
      </c>
      <c r="D146" s="339">
        <f t="shared" si="16"/>
        <v>3.2777791626326516</v>
      </c>
      <c r="E146" s="339">
        <f t="shared" si="10"/>
        <v>-5.526131125698198</v>
      </c>
      <c r="F146" s="339">
        <f t="shared" si="17"/>
        <v>123.37181009750621</v>
      </c>
      <c r="G146" s="323"/>
    </row>
    <row r="147" spans="1:7" s="322" customFormat="1">
      <c r="A147" s="228">
        <f t="shared" si="11"/>
        <v>103535.78016395473</v>
      </c>
      <c r="B147" s="228">
        <f t="shared" si="9"/>
        <v>2.5307148879957374E-4</v>
      </c>
      <c r="C147" s="339">
        <f t="shared" si="15"/>
        <v>125.20623520898951</v>
      </c>
      <c r="D147" s="339">
        <f t="shared" si="16"/>
        <v>3.4377637881168752</v>
      </c>
      <c r="E147" s="339">
        <f t="shared" si="10"/>
        <v>-5.2515820609368564</v>
      </c>
      <c r="F147" s="339">
        <f t="shared" si="17"/>
        <v>123.39241693616954</v>
      </c>
      <c r="G147" s="323"/>
    </row>
    <row r="148" spans="1:7" s="322" customFormat="1">
      <c r="A148" s="228">
        <f t="shared" si="11"/>
        <v>113889.3581803502</v>
      </c>
      <c r="B148" s="228">
        <f t="shared" si="9"/>
        <v>2.412941969750785E-4</v>
      </c>
      <c r="C148" s="339">
        <f t="shared" si="15"/>
        <v>124.79230835740725</v>
      </c>
      <c r="D148" s="339">
        <f t="shared" si="16"/>
        <v>3.605557078895917</v>
      </c>
      <c r="E148" s="339">
        <f t="shared" si="10"/>
        <v>-4.9828160651954549</v>
      </c>
      <c r="F148" s="339">
        <f t="shared" si="17"/>
        <v>123.41504937110771</v>
      </c>
      <c r="G148" s="323"/>
    </row>
    <row r="149" spans="1:7" s="322" customFormat="1">
      <c r="A149" s="228">
        <f t="shared" si="11"/>
        <v>125278.29399838523</v>
      </c>
      <c r="B149" s="228">
        <f t="shared" si="9"/>
        <v>2.3006498981779434E-4</v>
      </c>
      <c r="C149" s="339">
        <f t="shared" si="15"/>
        <v>124.378381505825</v>
      </c>
      <c r="D149" s="339">
        <f t="shared" si="16"/>
        <v>3.7815401669285622</v>
      </c>
      <c r="E149" s="339">
        <f t="shared" si="10"/>
        <v>-4.7200168609252326</v>
      </c>
      <c r="F149" s="339">
        <f t="shared" si="17"/>
        <v>123.43990481182834</v>
      </c>
      <c r="G149" s="323"/>
    </row>
    <row r="150" spans="1:7" s="322" customFormat="1">
      <c r="A150" s="228">
        <f t="shared" si="11"/>
        <v>137806.12339822375</v>
      </c>
      <c r="B150" s="228">
        <f t="shared" si="9"/>
        <v>2.1935836088643498E-4</v>
      </c>
      <c r="C150" s="339">
        <f t="shared" si="15"/>
        <v>123.96445465424277</v>
      </c>
      <c r="D150" s="339">
        <f t="shared" si="16"/>
        <v>3.966112786785509</v>
      </c>
      <c r="E150" s="339">
        <f t="shared" si="10"/>
        <v>-4.463367984206692</v>
      </c>
      <c r="F150" s="339">
        <f t="shared" si="17"/>
        <v>123.46719945682159</v>
      </c>
      <c r="G150" s="323"/>
    </row>
    <row r="151" spans="1:7" s="322" customFormat="1">
      <c r="A151" s="228">
        <f t="shared" si="11"/>
        <v>151586.73573804615</v>
      </c>
      <c r="B151" s="228">
        <f t="shared" si="9"/>
        <v>2.0914999074344936E-4</v>
      </c>
      <c r="C151" s="339">
        <f t="shared" si="15"/>
        <v>123.55052780266051</v>
      </c>
      <c r="D151" s="339">
        <f t="shared" si="16"/>
        <v>4.1596941836214194</v>
      </c>
      <c r="E151" s="339">
        <f t="shared" si="10"/>
        <v>-4.2130520005691583</v>
      </c>
      <c r="F151" s="339">
        <f t="shared" si="17"/>
        <v>123.49716998571277</v>
      </c>
      <c r="G151" s="323"/>
    </row>
    <row r="152" spans="1:7" s="322" customFormat="1">
      <c r="A152" s="228">
        <f t="shared" si="11"/>
        <v>166745.40931185079</v>
      </c>
      <c r="B152" s="228">
        <f t="shared" si="9"/>
        <v>1.9941669171494089E-4</v>
      </c>
      <c r="C152" s="339">
        <f t="shared" si="15"/>
        <v>123.13660095107826</v>
      </c>
      <c r="D152" s="339">
        <f t="shared" si="16"/>
        <v>4.36272406546406</v>
      </c>
      <c r="E152" s="339">
        <f t="shared" si="10"/>
        <v>-3.9692496323115551</v>
      </c>
      <c r="F152" s="339">
        <f t="shared" si="17"/>
        <v>123.53007538423077</v>
      </c>
      <c r="G152" s="323"/>
    </row>
    <row r="153" spans="1:7" s="322" customFormat="1">
      <c r="A153" s="228">
        <f t="shared" si="11"/>
        <v>183419.95024303588</v>
      </c>
      <c r="B153" s="228">
        <f t="shared" si="9"/>
        <v>1.9013635522131759E-4</v>
      </c>
      <c r="C153" s="339">
        <f t="shared" si="15"/>
        <v>122.722674099496</v>
      </c>
      <c r="D153" s="339">
        <f t="shared" si="16"/>
        <v>4.5756636019835613</v>
      </c>
      <c r="E153" s="339">
        <f t="shared" si="10"/>
        <v>-3.732138793032969</v>
      </c>
      <c r="F153" s="339">
        <f t="shared" si="17"/>
        <v>123.56619890844659</v>
      </c>
      <c r="G153" s="323"/>
    </row>
    <row r="154" spans="1:7" s="322" customFormat="1">
      <c r="A154" s="228">
        <f t="shared" si="11"/>
        <v>201761.9452673395</v>
      </c>
      <c r="B154" s="228">
        <f t="shared" si="9"/>
        <v>1.8128790155903717E-4</v>
      </c>
      <c r="C154" s="339">
        <f t="shared" si="15"/>
        <v>122.30874724791376</v>
      </c>
      <c r="D154" s="339">
        <f t="shared" si="16"/>
        <v>4.7989964720104661</v>
      </c>
      <c r="E154" s="339">
        <f t="shared" si="10"/>
        <v>-3.5018935257286179</v>
      </c>
      <c r="F154" s="339">
        <f t="shared" si="17"/>
        <v>123.60585019419561</v>
      </c>
      <c r="G154" s="323"/>
    </row>
    <row r="155" spans="1:7" s="322" customFormat="1">
      <c r="A155" s="228">
        <f t="shared" si="11"/>
        <v>221938.13979407348</v>
      </c>
      <c r="B155" s="228">
        <f t="shared" si="9"/>
        <v>1.7285123201937961E-4</v>
      </c>
      <c r="C155" s="339">
        <f t="shared" si="15"/>
        <v>121.8948203963315</v>
      </c>
      <c r="D155" s="339">
        <f t="shared" si="16"/>
        <v>5.0332299621819185</v>
      </c>
      <c r="E155" s="339">
        <f t="shared" si="10"/>
        <v>-3.2786828416895086</v>
      </c>
      <c r="F155" s="339">
        <f t="shared" si="17"/>
        <v>123.64936751682392</v>
      </c>
      <c r="G155" s="323"/>
    </row>
    <row r="156" spans="1:7" s="322" customFormat="1">
      <c r="A156" s="228">
        <f t="shared" si="11"/>
        <v>244131.95377348084</v>
      </c>
      <c r="B156" s="228">
        <f t="shared" si="9"/>
        <v>1.648071832354883E-4</v>
      </c>
      <c r="C156" s="339">
        <f t="shared" si="15"/>
        <v>121.48089354474925</v>
      </c>
      <c r="D156" s="339">
        <f t="shared" si="16"/>
        <v>5.2788961192115131</v>
      </c>
      <c r="E156" s="339">
        <f t="shared" si="10"/>
        <v>-3.0626694586025405</v>
      </c>
      <c r="F156" s="339">
        <f t="shared" si="17"/>
        <v>123.69712020535822</v>
      </c>
      <c r="G156" s="323"/>
    </row>
    <row r="157" spans="1:7" s="322" customFormat="1">
      <c r="A157" s="228">
        <f t="shared" si="11"/>
        <v>268545.14915082895</v>
      </c>
      <c r="B157" s="228">
        <f t="shared" si="9"/>
        <v>1.5713748365398143E-4</v>
      </c>
      <c r="C157" s="339">
        <f t="shared" si="15"/>
        <v>121.06696669316702</v>
      </c>
      <c r="D157" s="339">
        <f t="shared" si="16"/>
        <v>5.5365529584001107</v>
      </c>
      <c r="E157" s="339">
        <f t="shared" si="10"/>
        <v>-2.8540084377240786</v>
      </c>
      <c r="F157" s="339">
        <f t="shared" si="17"/>
        <v>123.74951121384305</v>
      </c>
      <c r="G157" s="323"/>
    </row>
    <row r="158" spans="1:7" s="322" customFormat="1">
      <c r="A158" s="228">
        <f t="shared" si="11"/>
        <v>295399.66406591184</v>
      </c>
      <c r="B158" s="228">
        <f t="shared" si="9"/>
        <v>1.498247120322621E-4</v>
      </c>
      <c r="C158" s="339">
        <f t="shared" si="15"/>
        <v>120.65303984158476</v>
      </c>
      <c r="D158" s="339">
        <f t="shared" si="16"/>
        <v>5.8067857311326643</v>
      </c>
      <c r="E158" s="339">
        <f t="shared" si="10"/>
        <v>-2.652845721837517</v>
      </c>
      <c r="F158" s="339">
        <f t="shared" si="17"/>
        <v>123.8069798508799</v>
      </c>
      <c r="G158" s="323"/>
    </row>
    <row r="159" spans="1:7" s="322" customFormat="1">
      <c r="A159" s="228">
        <f t="shared" si="11"/>
        <v>324939.63047250308</v>
      </c>
      <c r="B159" s="228">
        <f t="shared" si="9"/>
        <v>1.4285225786725585E-4</v>
      </c>
      <c r="C159" s="339">
        <f t="shared" si="15"/>
        <v>120.2391129900025</v>
      </c>
      <c r="D159" s="339">
        <f t="shared" si="16"/>
        <v>6.0902082542401219</v>
      </c>
      <c r="E159" s="339">
        <f t="shared" si="10"/>
        <v>-2.4593165779462107</v>
      </c>
      <c r="F159" s="339">
        <f t="shared" si="17"/>
        <v>123.87000466629641</v>
      </c>
      <c r="G159" s="323"/>
    </row>
    <row r="160" spans="1:7" s="322" customFormat="1">
      <c r="A160" s="228">
        <f t="shared" si="11"/>
        <v>357433.59351975343</v>
      </c>
      <c r="B160" s="228">
        <f t="shared" si="9"/>
        <v>1.3620428366569278E-4</v>
      </c>
      <c r="C160" s="339">
        <f t="shared" si="15"/>
        <v>119.82518613842025</v>
      </c>
      <c r="D160" s="339">
        <f t="shared" si="16"/>
        <v>6.3874643042459329</v>
      </c>
      <c r="E160" s="339">
        <f t="shared" si="10"/>
        <v>-2.2735439513365363</v>
      </c>
      <c r="F160" s="339">
        <f t="shared" si="17"/>
        <v>123.93910649132965</v>
      </c>
      <c r="G160" s="323"/>
    </row>
    <row r="161" spans="1:7" s="322" customFormat="1">
      <c r="A161" s="228">
        <f t="shared" si="11"/>
        <v>393176.9528717288</v>
      </c>
      <c r="B161" s="228">
        <f t="shared" si="9"/>
        <v>1.2986568897023259E-4</v>
      </c>
      <c r="C161" s="339">
        <f t="shared" si="15"/>
        <v>119.411259286838</v>
      </c>
      <c r="D161" s="339">
        <f t="shared" si="16"/>
        <v>6.6992290796641338</v>
      </c>
      <c r="E161" s="339">
        <f t="shared" si="10"/>
        <v>-2.0956367408033154</v>
      </c>
      <c r="F161" s="339">
        <f t="shared" si="17"/>
        <v>124.01485162569882</v>
      </c>
      <c r="G161" s="323"/>
    </row>
    <row r="162" spans="1:7" s="322" customFormat="1">
      <c r="A162" s="228">
        <f t="shared" si="11"/>
        <v>432494.64815890172</v>
      </c>
      <c r="B162" s="228">
        <f t="shared" si="9"/>
        <v>1.2382207605972072E-4</v>
      </c>
      <c r="C162" s="339">
        <f t="shared" si="15"/>
        <v>118.99733243525574</v>
      </c>
      <c r="D162" s="339">
        <f t="shared" si="16"/>
        <v>7.026210734670526</v>
      </c>
      <c r="E162" s="339">
        <f t="shared" si="10"/>
        <v>-1.9256880084824444</v>
      </c>
      <c r="F162" s="339">
        <f t="shared" si="17"/>
        <v>124.09785516144383</v>
      </c>
      <c r="G162" s="323"/>
    </row>
    <row r="163" spans="1:7" s="322" customFormat="1">
      <c r="A163" s="228">
        <f t="shared" si="11"/>
        <v>475744.1129747919</v>
      </c>
      <c r="B163" s="228">
        <f t="shared" si="9"/>
        <v>1.1805971724566598E-4</v>
      </c>
      <c r="C163" s="339">
        <f t="shared" si="15"/>
        <v>118.58340558367351</v>
      </c>
      <c r="D163" s="339">
        <f t="shared" si="16"/>
        <v>7.3691519876305485</v>
      </c>
      <c r="E163" s="339">
        <f t="shared" si="10"/>
        <v>-1.7637731418867548</v>
      </c>
      <c r="F163" s="339">
        <f t="shared" si="17"/>
        <v>124.1887844294173</v>
      </c>
      <c r="G163" s="323"/>
    </row>
    <row r="164" spans="1:7" s="322" customFormat="1">
      <c r="A164" s="228">
        <f t="shared" si="11"/>
        <v>523318.52427227114</v>
      </c>
      <c r="B164" s="228">
        <f t="shared" si="9"/>
        <v>1.1256552369065516E-4</v>
      </c>
      <c r="C164" s="339">
        <f t="shared" si="15"/>
        <v>118.16947873209125</v>
      </c>
      <c r="D164" s="339">
        <f t="shared" si="16"/>
        <v>7.7288318081375804</v>
      </c>
      <c r="E164" s="339">
        <f t="shared" si="10"/>
        <v>-1.609947990371102</v>
      </c>
      <c r="F164" s="339">
        <f t="shared" si="17"/>
        <v>124.28836254985774</v>
      </c>
      <c r="G164" s="323"/>
    </row>
    <row r="165" spans="1:7" s="322" customFormat="1">
      <c r="A165" s="228">
        <f t="shared" si="11"/>
        <v>575650.37669949827</v>
      </c>
      <c r="B165" s="228">
        <f t="shared" si="9"/>
        <v>1.0732701567787814E-4</v>
      </c>
      <c r="C165" s="339">
        <f t="shared" si="15"/>
        <v>117.755551880509</v>
      </c>
      <c r="D165" s="339">
        <f t="shared" si="16"/>
        <v>8.1060671863936058</v>
      </c>
      <c r="E165" s="339">
        <f t="shared" si="10"/>
        <v>-1.4642470033105885</v>
      </c>
      <c r="F165" s="339">
        <f t="shared" si="17"/>
        <v>124.39737206359202</v>
      </c>
      <c r="G165" s="323"/>
    </row>
    <row r="166" spans="1:7" s="322" customFormat="1">
      <c r="A166" s="228">
        <f t="shared" si="11"/>
        <v>633215.4143694482</v>
      </c>
      <c r="B166" s="228">
        <f t="shared" si="9"/>
        <v>1.0233229426423195E-4</v>
      </c>
      <c r="C166" s="339">
        <f t="shared" si="15"/>
        <v>117.34162502892674</v>
      </c>
      <c r="D166" s="339">
        <f t="shared" si="16"/>
        <v>8.5017149889513401</v>
      </c>
      <c r="E166" s="339">
        <f t="shared" si="10"/>
        <v>-1.3266814026706197</v>
      </c>
      <c r="F166" s="339">
        <f t="shared" si="17"/>
        <v>124.51665861520746</v>
      </c>
      <c r="G166" s="323"/>
    </row>
    <row r="167" spans="1:7" s="322" customFormat="1">
      <c r="A167" s="228">
        <f t="shared" si="11"/>
        <v>696536.95580639306</v>
      </c>
      <c r="B167" s="228">
        <f t="shared" si="9"/>
        <v>9.7570014252616478E-5</v>
      </c>
      <c r="C167" s="339">
        <f t="shared" si="15"/>
        <v>116.9276981773445</v>
      </c>
      <c r="D167" s="339">
        <f t="shared" si="16"/>
        <v>8.9166739050329671</v>
      </c>
      <c r="E167" s="339">
        <f t="shared" si="10"/>
        <v>-1.1972374282398841</v>
      </c>
      <c r="F167" s="339">
        <f t="shared" si="17"/>
        <v>124.64713465413757</v>
      </c>
      <c r="G167" s="323"/>
    </row>
    <row r="168" spans="1:7" s="322" customFormat="1">
      <c r="A168" s="228">
        <f t="shared" si="11"/>
        <v>766190.65138703247</v>
      </c>
      <c r="B168" s="228">
        <f t="shared" si="9"/>
        <v>9.3029358422029069E-5</v>
      </c>
      <c r="C168" s="339">
        <f t="shared" si="15"/>
        <v>116.51377132576224</v>
      </c>
      <c r="D168" s="339">
        <f t="shared" si="16"/>
        <v>9.3518864878464711</v>
      </c>
      <c r="E168" s="339">
        <f t="shared" si="10"/>
        <v>-1.075874699390309</v>
      </c>
      <c r="F168" s="339">
        <f t="shared" si="17"/>
        <v>124.78978311421839</v>
      </c>
      <c r="G168" s="323"/>
    </row>
    <row r="169" spans="1:7" s="322" customFormat="1">
      <c r="A169" s="228">
        <f t="shared" si="11"/>
        <v>842809.7165257358</v>
      </c>
      <c r="B169" s="228">
        <f t="shared" si="9"/>
        <v>8.8700012956924068E-5</v>
      </c>
      <c r="C169" s="339">
        <f t="shared" si="15"/>
        <v>116.09984447417999</v>
      </c>
      <c r="D169" s="339">
        <f t="shared" si="16"/>
        <v>9.8083412955362643</v>
      </c>
      <c r="E169" s="339">
        <f t="shared" si="10"/>
        <v>-0.96252474256008203</v>
      </c>
      <c r="F169" s="339">
        <f t="shared" si="17"/>
        <v>124.94566102715618</v>
      </c>
      <c r="G169" s="323"/>
    </row>
    <row r="170" spans="1:7" s="322" customFormat="1">
      <c r="A170" s="228">
        <f t="shared" si="11"/>
        <v>927090.68817830947</v>
      </c>
      <c r="B170" s="228">
        <f t="shared" si="9"/>
        <v>8.4572144020026403E-5</v>
      </c>
      <c r="C170" s="339">
        <f t="shared" si="15"/>
        <v>115.68591762259774</v>
      </c>
      <c r="D170" s="339">
        <f t="shared" si="16"/>
        <v>10.287075136631122</v>
      </c>
      <c r="E170" s="339">
        <f t="shared" si="10"/>
        <v>-0.85708973839572644</v>
      </c>
      <c r="F170" s="339">
        <f t="shared" si="17"/>
        <v>125.11590302083313</v>
      </c>
      <c r="G170" s="323"/>
    </row>
    <row r="171" spans="1:7" s="322" customFormat="1">
      <c r="A171" s="228">
        <f t="shared" si="11"/>
        <v>1019799.7569961405</v>
      </c>
      <c r="B171" s="228">
        <f t="shared" si="9"/>
        <v>8.0636375415385511E-5</v>
      </c>
      <c r="C171" s="339">
        <f t="shared" si="15"/>
        <v>115.2719907710155</v>
      </c>
      <c r="D171" s="339">
        <f t="shared" si="16"/>
        <v>10.789175425089891</v>
      </c>
      <c r="E171" s="339">
        <f t="shared" si="10"/>
        <v>-0.75944154623591931</v>
      </c>
      <c r="F171" s="339">
        <f t="shared" si="17"/>
        <v>125.30172464986947</v>
      </c>
      <c r="G171" s="323"/>
    </row>
    <row r="172" spans="1:7" s="322" customFormat="1">
      <c r="A172" s="228">
        <f t="shared" si="11"/>
        <v>1121779.7326957546</v>
      </c>
      <c r="B172" s="228">
        <f t="shared" si="9"/>
        <v>7.688376729093309E-5</v>
      </c>
      <c r="C172" s="339">
        <f t="shared" si="15"/>
        <v>114.85806391943325</v>
      </c>
      <c r="D172" s="339">
        <f t="shared" si="16"/>
        <v>11.315782650294235</v>
      </c>
      <c r="E172" s="339">
        <f t="shared" si="10"/>
        <v>-0.66942106590863393</v>
      </c>
      <c r="F172" s="339">
        <f t="shared" si="17"/>
        <v>125.50442550381885</v>
      </c>
      <c r="G172" s="323"/>
    </row>
    <row r="173" spans="1:7" s="322" customFormat="1">
      <c r="A173" s="228">
        <f t="shared" si="11"/>
        <v>1233957.7059653301</v>
      </c>
      <c r="B173" s="228">
        <f t="shared" si="9"/>
        <v>7.3305795832168642E-5</v>
      </c>
      <c r="C173" s="339">
        <f t="shared" si="15"/>
        <v>114.44413706785099</v>
      </c>
      <c r="D173" s="339">
        <f t="shared" si="16"/>
        <v>11.86809296759888</v>
      </c>
      <c r="E173" s="339">
        <f t="shared" si="10"/>
        <v>-0.58683799712988249</v>
      </c>
      <c r="F173" s="339">
        <f t="shared" si="17"/>
        <v>125.72539203832</v>
      </c>
      <c r="G173" s="323"/>
    </row>
    <row r="174" spans="1:7" s="322" customFormat="1">
      <c r="A174" s="228">
        <f t="shared" si="11"/>
        <v>1357353.4765618632</v>
      </c>
      <c r="B174" s="228">
        <f t="shared" si="9"/>
        <v>6.989433390084826E-5</v>
      </c>
      <c r="C174" s="339">
        <f t="shared" si="15"/>
        <v>114.03021021626873</v>
      </c>
      <c r="D174" s="339">
        <f t="shared" si="16"/>
        <v>12.447360915323658</v>
      </c>
      <c r="E174" s="339">
        <f t="shared" si="10"/>
        <v>-0.51147105459946229</v>
      </c>
      <c r="F174" s="339">
        <f t="shared" si="17"/>
        <v>125.96610007699292</v>
      </c>
      <c r="G174" s="323"/>
    </row>
    <row r="175" spans="1:7" s="322" customFormat="1">
      <c r="A175" s="228">
        <f t="shared" si="11"/>
        <v>1493088.8242180496</v>
      </c>
      <c r="B175" s="228">
        <f t="shared" si="9"/>
        <v>6.664163257469876E-5</v>
      </c>
      <c r="C175" s="339">
        <f t="shared" si="15"/>
        <v>113.61628336468648</v>
      </c>
      <c r="D175" s="339">
        <f t="shared" si="16"/>
        <v>13.05490226435877</v>
      </c>
      <c r="E175" s="339">
        <f t="shared" si="10"/>
        <v>-0.44306869166246426</v>
      </c>
      <c r="F175" s="339">
        <f t="shared" si="17"/>
        <v>126.22811693738279</v>
      </c>
      <c r="G175" s="323"/>
    </row>
    <row r="176" spans="1:7" s="322" customFormat="1">
      <c r="A176" s="228">
        <f t="shared" si="11"/>
        <v>1642397.7066398547</v>
      </c>
      <c r="B176" s="228">
        <f t="shared" si="9"/>
        <v>6.354030354622569E-5</v>
      </c>
      <c r="C176" s="339">
        <f t="shared" si="15"/>
        <v>113.20235651310425</v>
      </c>
      <c r="D176" s="339">
        <f t="shared" si="16"/>
        <v>13.692097006856024</v>
      </c>
      <c r="E176" s="339">
        <f t="shared" si="10"/>
        <v>-0.38135037668601318</v>
      </c>
      <c r="F176" s="339">
        <f t="shared" si="17"/>
        <v>126.51310314327426</v>
      </c>
      <c r="G176" s="323"/>
    </row>
    <row r="177" spans="1:7" s="322" customFormat="1">
      <c r="A177" s="228">
        <f t="shared" si="11"/>
        <v>1806637.4773038402</v>
      </c>
      <c r="B177" s="228">
        <f t="shared" si="9"/>
        <v>6.0583302340635233E-5</v>
      </c>
      <c r="C177" s="339">
        <f t="shared" si="15"/>
        <v>112.78842966152199</v>
      </c>
      <c r="D177" s="339">
        <f t="shared" si="16"/>
        <v>14.360392490794647</v>
      </c>
      <c r="E177" s="339">
        <f t="shared" si="10"/>
        <v>-0.32600845375716636</v>
      </c>
      <c r="F177" s="339">
        <f t="shared" si="17"/>
        <v>126.82281369855947</v>
      </c>
      <c r="G177" s="323"/>
    </row>
    <row r="178" spans="1:7" s="322" customFormat="1">
      <c r="A178" s="228">
        <f t="shared" si="11"/>
        <v>1987301.2250342243</v>
      </c>
      <c r="B178" s="228">
        <f t="shared" si="9"/>
        <v>5.7763912314750623E-5</v>
      </c>
      <c r="C178" s="339">
        <f t="shared" si="15"/>
        <v>112.37450280993974</v>
      </c>
      <c r="D178" s="339">
        <f t="shared" si="16"/>
        <v>15.061306707541627</v>
      </c>
      <c r="E178" s="339">
        <f t="shared" si="10"/>
        <v>-0.2767106028077681</v>
      </c>
      <c r="F178" s="339">
        <f t="shared" si="17"/>
        <v>127.15909891467361</v>
      </c>
      <c r="G178" s="323"/>
    </row>
    <row r="179" spans="1:7" s="322" customFormat="1">
      <c r="A179" s="228">
        <f t="shared" si="11"/>
        <v>2186031.347537647</v>
      </c>
      <c r="B179" s="228">
        <f t="shared" ref="B179:B242" si="18">1/SQRT(PI()*A179*$B$21*$B$27*$B$25)</f>
        <v>5.5075729400577478E-5</v>
      </c>
      <c r="C179" s="339">
        <f t="shared" si="15"/>
        <v>111.96057595835748</v>
      </c>
      <c r="D179" s="339">
        <f t="shared" si="16"/>
        <v>15.796431739874114</v>
      </c>
      <c r="E179" s="339">
        <f t="shared" ref="E179:E242" si="19">20*LOG10(1-EXP(-2*($B$26/1000)/B179))</f>
        <v>-0.23310289395694522</v>
      </c>
      <c r="F179" s="339">
        <f t="shared" si="17"/>
        <v>127.52390480427465</v>
      </c>
      <c r="G179" s="323"/>
    </row>
    <row r="180" spans="1:7" s="322" customFormat="1">
      <c r="A180" s="228">
        <f t="shared" si="11"/>
        <v>2404634.4822914121</v>
      </c>
      <c r="B180" s="228">
        <f t="shared" si="18"/>
        <v>5.2512647558864198E-5</v>
      </c>
      <c r="C180" s="339">
        <f t="shared" si="15"/>
        <v>111.54664910677523</v>
      </c>
      <c r="D180" s="339">
        <f t="shared" si="16"/>
        <v>16.567437378295793</v>
      </c>
      <c r="E180" s="339">
        <f t="shared" si="19"/>
        <v>-0.19481340721577711</v>
      </c>
      <c r="F180" s="339">
        <f t="shared" si="17"/>
        <v>127.91927307785525</v>
      </c>
      <c r="G180" s="323"/>
    </row>
    <row r="181" spans="1:7" s="322" customFormat="1">
      <c r="A181" s="228">
        <f t="shared" ref="A181:A244" si="20">A180*1.1</f>
        <v>2645097.9305205536</v>
      </c>
      <c r="B181" s="228">
        <f t="shared" si="18"/>
        <v>5.0068844909615886E-5</v>
      </c>
      <c r="C181" s="339">
        <f t="shared" si="15"/>
        <v>111.13272225519297</v>
      </c>
      <c r="D181" s="339">
        <f t="shared" si="16"/>
        <v>17.376074913861526</v>
      </c>
      <c r="E181" s="339">
        <f t="shared" si="19"/>
        <v>-0.16145636259868065</v>
      </c>
      <c r="F181" s="339">
        <f t="shared" si="17"/>
        <v>128.34734080645583</v>
      </c>
      <c r="G181" s="323"/>
    </row>
    <row r="182" spans="1:7" s="322" customFormat="1">
      <c r="A182" s="228">
        <f t="shared" si="20"/>
        <v>2909607.723572609</v>
      </c>
      <c r="B182" s="228">
        <f t="shared" si="18"/>
        <v>4.773877050805836E-5</v>
      </c>
      <c r="C182" s="339">
        <f t="shared" si="15"/>
        <v>110.71879540361074</v>
      </c>
      <c r="D182" s="339">
        <f t="shared" si="16"/>
        <v>18.224181116125372</v>
      </c>
      <c r="E182" s="339">
        <f t="shared" si="19"/>
        <v>-0.13263667842266902</v>
      </c>
      <c r="F182" s="339">
        <f t="shared" si="17"/>
        <v>128.81033984131344</v>
      </c>
      <c r="G182" s="323"/>
    </row>
    <row r="183" spans="1:7" s="322" customFormat="1">
      <c r="A183" s="228">
        <f t="shared" si="20"/>
        <v>3200568.4959298703</v>
      </c>
      <c r="B183" s="228">
        <f t="shared" si="18"/>
        <v>4.5517131736014443E-5</v>
      </c>
      <c r="C183" s="339">
        <f t="shared" si="15"/>
        <v>110.30486855202849</v>
      </c>
      <c r="D183" s="339">
        <f t="shared" si="16"/>
        <v>19.11368240524768</v>
      </c>
      <c r="E183" s="339">
        <f t="shared" si="19"/>
        <v>-0.10795484882750915</v>
      </c>
      <c r="F183" s="339">
        <f t="shared" si="17"/>
        <v>129.31059610844866</v>
      </c>
      <c r="G183" s="323"/>
    </row>
    <row r="184" spans="1:7" s="322" customFormat="1">
      <c r="A184" s="228">
        <f t="shared" si="20"/>
        <v>3520625.3455228577</v>
      </c>
      <c r="B184" s="228">
        <f t="shared" si="18"/>
        <v>4.3398882280053046E-5</v>
      </c>
      <c r="C184" s="339">
        <f t="shared" si="15"/>
        <v>109.89094170044623</v>
      </c>
      <c r="D184" s="339">
        <f t="shared" si="16"/>
        <v>20.046599227737914</v>
      </c>
      <c r="E184" s="339">
        <f t="shared" si="19"/>
        <v>-8.7012007304335864E-2</v>
      </c>
      <c r="F184" s="339">
        <f t="shared" si="17"/>
        <v>129.85052892087981</v>
      </c>
      <c r="G184" s="323"/>
    </row>
    <row r="185" spans="1:7" s="322" customFormat="1">
      <c r="A185" s="228">
        <f t="shared" si="20"/>
        <v>3872687.8800751437</v>
      </c>
      <c r="B185" s="228">
        <f t="shared" si="18"/>
        <v>4.1379210669104026E-5</v>
      </c>
      <c r="C185" s="339">
        <f t="shared" si="15"/>
        <v>109.47701484886397</v>
      </c>
      <c r="D185" s="339">
        <f t="shared" si="16"/>
        <v>21.025050645772453</v>
      </c>
      <c r="E185" s="339">
        <f t="shared" si="19"/>
        <v>-6.9415023433238882E-2</v>
      </c>
      <c r="F185" s="339">
        <f t="shared" si="17"/>
        <v>130.4326504712032</v>
      </c>
      <c r="G185" s="323"/>
    </row>
    <row r="186" spans="1:7" s="322" customFormat="1">
      <c r="A186" s="228">
        <f t="shared" si="20"/>
        <v>4259956.6680826582</v>
      </c>
      <c r="B186" s="228">
        <f t="shared" si="18"/>
        <v>3.9453529345502764E-5</v>
      </c>
      <c r="C186" s="339">
        <f t="shared" si="15"/>
        <v>109.06308799728173</v>
      </c>
      <c r="D186" s="339">
        <f t="shared" si="16"/>
        <v>22.051259150511708</v>
      </c>
      <c r="E186" s="339">
        <f t="shared" si="19"/>
        <v>-5.4781467229064795E-2</v>
      </c>
      <c r="F186" s="339">
        <f t="shared" si="17"/>
        <v>131.05956568056436</v>
      </c>
      <c r="G186" s="323"/>
    </row>
    <row r="187" spans="1:7" s="322" customFormat="1">
      <c r="A187" s="228">
        <f t="shared" si="20"/>
        <v>4685952.3348909244</v>
      </c>
      <c r="B187" s="228">
        <f t="shared" si="18"/>
        <v>3.7617464244640027E-5</v>
      </c>
      <c r="C187" s="339">
        <f t="shared" si="15"/>
        <v>108.64916114569949</v>
      </c>
      <c r="D187" s="339">
        <f t="shared" si="16"/>
        <v>23.127555710349696</v>
      </c>
      <c r="E187" s="339">
        <f t="shared" si="19"/>
        <v>-4.2744271338984674E-2</v>
      </c>
      <c r="F187" s="339">
        <f t="shared" si="17"/>
        <v>131.73397258471019</v>
      </c>
      <c r="G187" s="323"/>
    </row>
    <row r="188" spans="1:7" s="322" customFormat="1">
      <c r="A188" s="228">
        <f t="shared" si="20"/>
        <v>5154547.5683800168</v>
      </c>
      <c r="B188" s="228">
        <f t="shared" si="18"/>
        <v>3.5866844859547968E-5</v>
      </c>
      <c r="C188" s="339">
        <f t="shared" si="15"/>
        <v>108.23523429411723</v>
      </c>
      <c r="D188" s="339">
        <f t="shared" si="16"/>
        <v>24.256385065562878</v>
      </c>
      <c r="E188" s="339">
        <f t="shared" si="19"/>
        <v>-3.2955927161698137E-2</v>
      </c>
      <c r="F188" s="339">
        <f t="shared" si="17"/>
        <v>132.45866343251839</v>
      </c>
      <c r="G188" s="323"/>
    </row>
    <row r="189" spans="1:7" s="322" customFormat="1">
      <c r="A189" s="228">
        <f t="shared" si="20"/>
        <v>5670002.3252180191</v>
      </c>
      <c r="B189" s="228">
        <f t="shared" si="18"/>
        <v>3.4197694767854567E-5</v>
      </c>
      <c r="C189" s="339">
        <f t="shared" si="15"/>
        <v>107.82130744253499</v>
      </c>
      <c r="D189" s="339">
        <f t="shared" si="16"/>
        <v>25.44031128138467</v>
      </c>
      <c r="E189" s="339">
        <f t="shared" si="19"/>
        <v>-2.5092067342713523E-2</v>
      </c>
      <c r="F189" s="339">
        <f t="shared" si="17"/>
        <v>133.23652665657696</v>
      </c>
      <c r="G189" s="323"/>
    </row>
    <row r="190" spans="1:7" s="322" customFormat="1">
      <c r="A190" s="228">
        <f t="shared" si="20"/>
        <v>6237002.5577398213</v>
      </c>
      <c r="B190" s="228">
        <f t="shared" si="18"/>
        <v>3.2606222599589056E-5</v>
      </c>
      <c r="C190" s="339">
        <f t="shared" si="15"/>
        <v>107.40738059095273</v>
      </c>
      <c r="D190" s="339">
        <f t="shared" si="16"/>
        <v>26.682023572119171</v>
      </c>
      <c r="E190" s="339">
        <f t="shared" si="19"/>
        <v>-1.8854313680392209E-2</v>
      </c>
      <c r="F190" s="339">
        <f t="shared" si="17"/>
        <v>134.07054984939151</v>
      </c>
      <c r="G190" s="323"/>
    </row>
    <row r="191" spans="1:7" s="322" customFormat="1">
      <c r="A191" s="228">
        <f t="shared" si="20"/>
        <v>6860702.8135138042</v>
      </c>
      <c r="B191" s="228">
        <f t="shared" si="18"/>
        <v>3.1088813425322329E-5</v>
      </c>
      <c r="C191" s="339">
        <f t="shared" si="15"/>
        <v>106.99345373937048</v>
      </c>
      <c r="D191" s="339">
        <f t="shared" si="16"/>
        <v>27.984342409523141</v>
      </c>
      <c r="E191" s="339">
        <f t="shared" si="19"/>
        <v>-1.3972304871505414E-2</v>
      </c>
      <c r="F191" s="339">
        <f t="shared" si="17"/>
        <v>134.9638238440221</v>
      </c>
      <c r="G191" s="323"/>
    </row>
    <row r="192" spans="1:7" s="322" customFormat="1">
      <c r="A192" s="228">
        <f t="shared" si="20"/>
        <v>7546773.0948651852</v>
      </c>
      <c r="B192" s="228">
        <f t="shared" si="18"/>
        <v>2.9642020545080962E-5</v>
      </c>
      <c r="C192" s="339">
        <f t="shared" si="15"/>
        <v>106.57952688778822</v>
      </c>
      <c r="D192" s="339">
        <f t="shared" si="16"/>
        <v>29.350225929331085</v>
      </c>
      <c r="E192" s="339">
        <f t="shared" si="19"/>
        <v>-1.0204860375510348E-2</v>
      </c>
      <c r="F192" s="339">
        <f t="shared" si="17"/>
        <v>135.91954795674377</v>
      </c>
      <c r="G192" s="323"/>
    </row>
    <row r="193" spans="1:7" s="322" customFormat="1">
      <c r="A193" s="228">
        <f t="shared" si="20"/>
        <v>8301450.4043517048</v>
      </c>
      <c r="B193" s="228">
        <f t="shared" si="18"/>
        <v>2.8262557659383933E-5</v>
      </c>
      <c r="C193" s="339">
        <f t="shared" si="15"/>
        <v>106.16560003620597</v>
      </c>
      <c r="D193" s="339">
        <f t="shared" si="16"/>
        <v>30.782776650475455</v>
      </c>
      <c r="E193" s="339">
        <f t="shared" si="19"/>
        <v>-7.3402818325903332E-3</v>
      </c>
      <c r="F193" s="339">
        <f t="shared" si="17"/>
        <v>136.94103640484883</v>
      </c>
      <c r="G193" s="323"/>
    </row>
    <row r="194" spans="1:7" s="322" customFormat="1">
      <c r="A194" s="228">
        <f t="shared" si="20"/>
        <v>9131595.4447868764</v>
      </c>
      <c r="B194" s="228">
        <f t="shared" si="18"/>
        <v>2.6947291404619054E-5</v>
      </c>
      <c r="C194" s="339">
        <f t="shared" si="15"/>
        <v>105.75167318462374</v>
      </c>
      <c r="D194" s="339">
        <f t="shared" si="16"/>
        <v>32.285248522264197</v>
      </c>
      <c r="E194" s="339">
        <f t="shared" si="19"/>
        <v>-5.1958382928651362E-3</v>
      </c>
      <c r="F194" s="339">
        <f t="shared" si="17"/>
        <v>138.03172586859506</v>
      </c>
      <c r="G194" s="323"/>
    </row>
    <row r="195" spans="1:7" s="322" customFormat="1">
      <c r="A195" s="228">
        <f t="shared" si="20"/>
        <v>10044754.989265565</v>
      </c>
      <c r="B195" s="228">
        <f t="shared" si="18"/>
        <v>2.5693234235803571E-5</v>
      </c>
      <c r="C195" s="339">
        <f t="shared" si="15"/>
        <v>105.33774633304148</v>
      </c>
      <c r="D195" s="339">
        <f t="shared" si="16"/>
        <v>33.861054315523006</v>
      </c>
      <c r="E195" s="339">
        <f t="shared" si="19"/>
        <v>-3.6165222746446131E-3</v>
      </c>
      <c r="F195" s="339">
        <f t="shared" si="17"/>
        <v>139.19518412628983</v>
      </c>
      <c r="G195" s="323"/>
    </row>
    <row r="196" spans="1:7" s="322" customFormat="1">
      <c r="A196" s="228">
        <f t="shared" si="20"/>
        <v>11049230.488192122</v>
      </c>
      <c r="B196" s="228">
        <f t="shared" si="18"/>
        <v>2.4497537640562773E-5</v>
      </c>
      <c r="C196" s="339">
        <f t="shared" si="15"/>
        <v>104.92381948145922</v>
      </c>
      <c r="D196" s="339">
        <f t="shared" si="16"/>
        <v>35.513773374490619</v>
      </c>
      <c r="E196" s="339">
        <f t="shared" si="19"/>
        <v>-2.4731969843156034E-3</v>
      </c>
      <c r="F196" s="339">
        <f t="shared" si="17"/>
        <v>140.43511965896553</v>
      </c>
      <c r="G196" s="323"/>
    </row>
    <row r="197" spans="1:7" s="322" customFormat="1">
      <c r="A197" s="228">
        <f t="shared" si="20"/>
        <v>12154153.537011337</v>
      </c>
      <c r="B197" s="228">
        <f t="shared" si="18"/>
        <v>2.3357485668912337E-5</v>
      </c>
      <c r="C197" s="339">
        <f t="shared" si="15"/>
        <v>104.50989262987697</v>
      </c>
      <c r="D197" s="339">
        <f t="shared" si="16"/>
        <v>37.247159747075308</v>
      </c>
      <c r="E197" s="339">
        <f t="shared" si="19"/>
        <v>-1.6602782685352969E-3</v>
      </c>
      <c r="F197" s="339">
        <f t="shared" si="17"/>
        <v>141.75539209868376</v>
      </c>
      <c r="G197" s="323"/>
    </row>
    <row r="198" spans="1:7" s="322" customFormat="1">
      <c r="A198" s="228">
        <f t="shared" si="20"/>
        <v>13369568.890712472</v>
      </c>
      <c r="B198" s="228">
        <f t="shared" si="18"/>
        <v>2.2270488764147975E-5</v>
      </c>
      <c r="C198" s="339">
        <f t="shared" ref="C198:C261" si="21">20*LOG10(SQRT($B$25/(4*PI()*A198*$B$27*$B$20)))</f>
        <v>104.09596577829473</v>
      </c>
      <c r="D198" s="339">
        <f t="shared" ref="D198:D261" si="22">8.7*$B$26/1000/B198</f>
        <v>39.065150711939687</v>
      </c>
      <c r="E198" s="339">
        <f t="shared" si="19"/>
        <v>-1.0931064690282741E-3</v>
      </c>
      <c r="F198" s="339">
        <f t="shared" ref="F198:F261" si="23">C198+D198+E198</f>
        <v>143.16002338376538</v>
      </c>
      <c r="G198" s="323"/>
    </row>
    <row r="199" spans="1:7" s="322" customFormat="1">
      <c r="A199" s="228">
        <f t="shared" si="20"/>
        <v>14706525.77978372</v>
      </c>
      <c r="B199" s="228">
        <f t="shared" si="18"/>
        <v>2.1234077880829397E-5</v>
      </c>
      <c r="C199" s="339">
        <f t="shared" si="21"/>
        <v>103.68203892671247</v>
      </c>
      <c r="D199" s="339">
        <f t="shared" si="22"/>
        <v>40.971875721782844</v>
      </c>
      <c r="E199" s="339">
        <f t="shared" si="19"/>
        <v>-7.0516299412624417E-4</v>
      </c>
      <c r="F199" s="339">
        <f t="shared" si="23"/>
        <v>144.65320948550118</v>
      </c>
      <c r="G199" s="323"/>
    </row>
    <row r="200" spans="1:7" s="322" customFormat="1">
      <c r="A200" s="228">
        <f t="shared" si="20"/>
        <v>16177178.357762093</v>
      </c>
      <c r="B200" s="228">
        <f t="shared" si="18"/>
        <v>2.0245898876498157E-5</v>
      </c>
      <c r="C200" s="339">
        <f t="shared" si="21"/>
        <v>103.26811207513023</v>
      </c>
      <c r="D200" s="339">
        <f t="shared" si="22"/>
        <v>42.971665783133659</v>
      </c>
      <c r="E200" s="339">
        <f t="shared" si="19"/>
        <v>-4.4527504062509467E-4</v>
      </c>
      <c r="F200" s="339">
        <f t="shared" si="23"/>
        <v>146.23933258322327</v>
      </c>
      <c r="G200" s="323"/>
    </row>
    <row r="201" spans="1:7" s="322" customFormat="1">
      <c r="A201" s="228">
        <f t="shared" si="20"/>
        <v>17794896.193538304</v>
      </c>
      <c r="B201" s="228">
        <f t="shared" si="18"/>
        <v>1.9303707164390357E-5</v>
      </c>
      <c r="C201" s="339">
        <f t="shared" si="21"/>
        <v>102.85418522354797</v>
      </c>
      <c r="D201" s="339">
        <f t="shared" si="22"/>
        <v>45.069063293961136</v>
      </c>
      <c r="E201" s="339">
        <f t="shared" si="19"/>
        <v>-2.7493150861063848E-4</v>
      </c>
      <c r="F201" s="339">
        <f t="shared" si="23"/>
        <v>147.9229735860005</v>
      </c>
      <c r="G201" s="323"/>
    </row>
    <row r="202" spans="1:7" s="322" customFormat="1">
      <c r="A202" s="228">
        <f t="shared" si="20"/>
        <v>19574385.812892135</v>
      </c>
      <c r="B202" s="228">
        <f t="shared" si="18"/>
        <v>1.8405362614998322E-5</v>
      </c>
      <c r="C202" s="339">
        <f t="shared" si="21"/>
        <v>102.44025837196573</v>
      </c>
      <c r="D202" s="339">
        <f t="shared" si="22"/>
        <v>47.268832361447032</v>
      </c>
      <c r="E202" s="339">
        <f t="shared" si="19"/>
        <v>-1.6580653996656842E-4</v>
      </c>
      <c r="F202" s="339">
        <f t="shared" si="23"/>
        <v>149.70892492687278</v>
      </c>
      <c r="G202" s="323"/>
    </row>
    <row r="203" spans="1:7" s="322" customFormat="1">
      <c r="A203" s="228">
        <f t="shared" si="20"/>
        <v>21531824.394181352</v>
      </c>
      <c r="B203" s="228">
        <f t="shared" si="18"/>
        <v>1.7548824694900324E-5</v>
      </c>
      <c r="C203" s="339">
        <f t="shared" si="21"/>
        <v>102.02633152038347</v>
      </c>
      <c r="D203" s="339">
        <f t="shared" si="22"/>
        <v>49.575969623357253</v>
      </c>
      <c r="E203" s="339">
        <f t="shared" si="19"/>
        <v>-9.7557444226506669E-5</v>
      </c>
      <c r="F203" s="339">
        <f t="shared" si="23"/>
        <v>151.60220358629647</v>
      </c>
      <c r="G203" s="323"/>
    </row>
    <row r="204" spans="1:7" s="322" customFormat="1">
      <c r="A204" s="228">
        <f t="shared" si="20"/>
        <v>23685006.833599489</v>
      </c>
      <c r="B204" s="228">
        <f t="shared" si="18"/>
        <v>1.6732147831816651E-5</v>
      </c>
      <c r="C204" s="339">
        <f t="shared" si="21"/>
        <v>101.61240466880122</v>
      </c>
      <c r="D204" s="339">
        <f t="shared" si="22"/>
        <v>51.995715597591747</v>
      </c>
      <c r="E204" s="339">
        <f t="shared" si="19"/>
        <v>-5.593417414723439E-5</v>
      </c>
      <c r="F204" s="339">
        <f t="shared" si="23"/>
        <v>153.60806433221882</v>
      </c>
      <c r="G204" s="323"/>
    </row>
    <row r="205" spans="1:7" s="322" customFormat="1">
      <c r="A205" s="228">
        <f t="shared" si="20"/>
        <v>26053507.51695944</v>
      </c>
      <c r="B205" s="228">
        <f t="shared" si="18"/>
        <v>1.5953476995363931E-5</v>
      </c>
      <c r="C205" s="339">
        <f t="shared" si="21"/>
        <v>101.19847781721896</v>
      </c>
      <c r="D205" s="339">
        <f t="shared" si="22"/>
        <v>54.533566585692974</v>
      </c>
      <c r="E205" s="339">
        <f t="shared" si="19"/>
        <v>-3.1210672207130658E-5</v>
      </c>
      <c r="F205" s="339">
        <f t="shared" si="23"/>
        <v>155.73201319223972</v>
      </c>
      <c r="G205" s="323"/>
    </row>
    <row r="206" spans="1:7" s="322" customFormat="1">
      <c r="A206" s="228">
        <f t="shared" si="20"/>
        <v>28658858.268655386</v>
      </c>
      <c r="B206" s="228">
        <f t="shared" si="18"/>
        <v>1.5211043483469684E-5</v>
      </c>
      <c r="C206" s="339">
        <f t="shared" si="21"/>
        <v>100.78455096563671</v>
      </c>
      <c r="D206" s="339">
        <f t="shared" si="22"/>
        <v>57.195287157350919</v>
      </c>
      <c r="E206" s="339">
        <f t="shared" si="19"/>
        <v>-1.6926314557742846E-5</v>
      </c>
      <c r="F206" s="339">
        <f t="shared" si="23"/>
        <v>157.9798211966731</v>
      </c>
      <c r="G206" s="323"/>
    </row>
    <row r="207" spans="1:7" s="322" customFormat="1">
      <c r="A207" s="228">
        <f t="shared" si="20"/>
        <v>31524744.095520929</v>
      </c>
      <c r="B207" s="228">
        <f t="shared" si="18"/>
        <v>1.45031609048763E-5</v>
      </c>
      <c r="C207" s="339">
        <f t="shared" si="21"/>
        <v>100.37062411405446</v>
      </c>
      <c r="D207" s="339">
        <f t="shared" si="22"/>
        <v>59.986923244262279</v>
      </c>
      <c r="E207" s="339">
        <f t="shared" si="19"/>
        <v>-8.9094597149061899E-6</v>
      </c>
      <c r="F207" s="339">
        <f t="shared" si="23"/>
        <v>160.35753844885701</v>
      </c>
      <c r="G207" s="323"/>
    </row>
    <row r="208" spans="1:7" s="322" customFormat="1">
      <c r="A208" s="228">
        <f t="shared" si="20"/>
        <v>34677218.505073026</v>
      </c>
      <c r="B208" s="228">
        <f t="shared" si="18"/>
        <v>1.3828221348608801E-5</v>
      </c>
      <c r="C208" s="339">
        <f t="shared" si="21"/>
        <v>99.956697262472218</v>
      </c>
      <c r="D208" s="339">
        <f t="shared" si="22"/>
        <v>62.91481587308602</v>
      </c>
      <c r="E208" s="339">
        <f t="shared" si="19"/>
        <v>-4.5450311669762956E-6</v>
      </c>
      <c r="F208" s="339">
        <f t="shared" si="23"/>
        <v>162.87150859052707</v>
      </c>
      <c r="G208" s="323"/>
    </row>
    <row r="209" spans="1:7" s="322" customFormat="1">
      <c r="A209" s="228">
        <f t="shared" si="20"/>
        <v>38144940.35558033</v>
      </c>
      <c r="B209" s="228">
        <f t="shared" si="18"/>
        <v>1.3184691731705725E-5</v>
      </c>
      <c r="C209" s="339">
        <f t="shared" si="21"/>
        <v>99.542770410889972</v>
      </c>
      <c r="D209" s="339">
        <f t="shared" si="22"/>
        <v>65.985615568688516</v>
      </c>
      <c r="E209" s="339">
        <f t="shared" si="19"/>
        <v>-2.2436488428418986E-6</v>
      </c>
      <c r="F209" s="339">
        <f t="shared" si="23"/>
        <v>165.52838373592965</v>
      </c>
      <c r="G209" s="323"/>
    </row>
    <row r="210" spans="1:7" s="322" customFormat="1">
      <c r="A210" s="228">
        <f t="shared" si="20"/>
        <v>41959434.391138367</v>
      </c>
      <c r="B210" s="228">
        <f t="shared" si="18"/>
        <v>1.2571110316917091E-5</v>
      </c>
      <c r="C210" s="339">
        <f t="shared" si="21"/>
        <v>99.128843559307711</v>
      </c>
      <c r="D210" s="339">
        <f t="shared" si="22"/>
        <v>69.206297460394637</v>
      </c>
      <c r="E210" s="339">
        <f t="shared" si="19"/>
        <v>-1.0700622011509399E-6</v>
      </c>
      <c r="F210" s="339">
        <f t="shared" si="23"/>
        <v>168.33513994964014</v>
      </c>
      <c r="G210" s="323"/>
    </row>
    <row r="211" spans="1:7" s="322" customFormat="1">
      <c r="A211" s="228">
        <f t="shared" si="20"/>
        <v>46155377.830252208</v>
      </c>
      <c r="B211" s="228">
        <f t="shared" si="18"/>
        <v>1.1986083392459747E-5</v>
      </c>
      <c r="C211" s="339">
        <f t="shared" si="21"/>
        <v>98.71491670772545</v>
      </c>
      <c r="D211" s="339">
        <f t="shared" si="22"/>
        <v>72.584177125557389</v>
      </c>
      <c r="E211" s="339">
        <f t="shared" si="19"/>
        <v>-4.9223092385031347E-7</v>
      </c>
      <c r="F211" s="339">
        <f t="shared" si="23"/>
        <v>171.2990933410519</v>
      </c>
      <c r="G211" s="323"/>
    </row>
    <row r="212" spans="1:7" s="322" customFormat="1">
      <c r="A212" s="228">
        <f t="shared" si="20"/>
        <v>50770915.613277435</v>
      </c>
      <c r="B212" s="228">
        <f t="shared" si="18"/>
        <v>1.1428282106288265E-5</v>
      </c>
      <c r="C212" s="339">
        <f t="shared" si="21"/>
        <v>98.300989856143204</v>
      </c>
      <c r="D212" s="339">
        <f t="shared" si="22"/>
        <v>76.12692720643409</v>
      </c>
      <c r="E212" s="339">
        <f t="shared" si="19"/>
        <v>-2.1800601262118153E-7</v>
      </c>
      <c r="F212" s="339">
        <f t="shared" si="23"/>
        <v>174.42791684457129</v>
      </c>
      <c r="G212" s="323"/>
    </row>
    <row r="213" spans="1:7" s="322" customFormat="1">
      <c r="A213" s="228">
        <f t="shared" si="20"/>
        <v>55848007.174605183</v>
      </c>
      <c r="B213" s="228">
        <f t="shared" si="18"/>
        <v>1.0896439447690678E-5</v>
      </c>
      <c r="C213" s="339">
        <f t="shared" si="21"/>
        <v>97.887063004560972</v>
      </c>
      <c r="D213" s="339">
        <f t="shared" si="22"/>
        <v>79.842594838113129</v>
      </c>
      <c r="E213" s="339">
        <f t="shared" si="19"/>
        <v>-9.2790677103942953E-8</v>
      </c>
      <c r="F213" s="339">
        <f t="shared" si="23"/>
        <v>177.72965774988342</v>
      </c>
      <c r="G213" s="323"/>
    </row>
    <row r="214" spans="1:7" s="322" customFormat="1">
      <c r="A214" s="228">
        <f t="shared" si="20"/>
        <v>61432807.892065704</v>
      </c>
      <c r="B214" s="228">
        <f t="shared" si="18"/>
        <v>1.0389347369352966E-5</v>
      </c>
      <c r="C214" s="339">
        <f t="shared" si="21"/>
        <v>97.473136152978711</v>
      </c>
      <c r="D214" s="339">
        <f t="shared" si="22"/>
        <v>83.739619927077513</v>
      </c>
      <c r="E214" s="339">
        <f t="shared" si="19"/>
        <v>-3.7882085790394321E-8</v>
      </c>
      <c r="F214" s="339">
        <f t="shared" si="23"/>
        <v>181.21275604217416</v>
      </c>
      <c r="G214" s="323"/>
    </row>
    <row r="215" spans="1:7" s="322" customFormat="1">
      <c r="A215" s="228">
        <f t="shared" si="20"/>
        <v>67576088.681272283</v>
      </c>
      <c r="B215" s="228">
        <f t="shared" si="18"/>
        <v>9.9058540433551615E-6</v>
      </c>
      <c r="C215" s="339">
        <f t="shared" si="21"/>
        <v>97.059209301396464</v>
      </c>
      <c r="D215" s="339">
        <f t="shared" si="22"/>
        <v>87.826854321924444</v>
      </c>
      <c r="E215" s="339">
        <f t="shared" si="19"/>
        <v>-1.4803804648158102E-8</v>
      </c>
      <c r="F215" s="339">
        <f t="shared" si="23"/>
        <v>184.88606360851711</v>
      </c>
      <c r="G215" s="323"/>
    </row>
    <row r="216" spans="1:7" s="322" customFormat="1">
      <c r="A216" s="228">
        <f t="shared" si="20"/>
        <v>74333697.549399525</v>
      </c>
      <c r="B216" s="228">
        <f t="shared" si="18"/>
        <v>9.4448612448663322E-6</v>
      </c>
      <c r="C216" s="339">
        <f t="shared" si="21"/>
        <v>96.645282449814204</v>
      </c>
      <c r="D216" s="339">
        <f t="shared" si="22"/>
        <v>92.113581919785275</v>
      </c>
      <c r="E216" s="339">
        <f t="shared" si="19"/>
        <v>-5.5258085371506875E-9</v>
      </c>
      <c r="F216" s="339">
        <f t="shared" si="23"/>
        <v>188.75886436407367</v>
      </c>
      <c r="G216" s="323"/>
    </row>
    <row r="217" spans="1:7" s="322" customFormat="1">
      <c r="A217" s="228">
        <f t="shared" si="20"/>
        <v>81767067.304339483</v>
      </c>
      <c r="B217" s="228">
        <f t="shared" si="18"/>
        <v>9.0053218575956014E-6</v>
      </c>
      <c r="C217" s="339">
        <f t="shared" si="21"/>
        <v>96.231355598231957</v>
      </c>
      <c r="D217" s="339">
        <f t="shared" si="22"/>
        <v>96.609539754116895</v>
      </c>
      <c r="E217" s="339">
        <f t="shared" si="19"/>
        <v>-1.9657545396222532E-9</v>
      </c>
      <c r="F217" s="339">
        <f t="shared" si="23"/>
        <v>192.84089535038311</v>
      </c>
      <c r="G217" s="323"/>
    </row>
    <row r="218" spans="1:7" s="322" customFormat="1">
      <c r="A218" s="228">
        <f t="shared" si="20"/>
        <v>89943774.034773439</v>
      </c>
      <c r="B218" s="228">
        <f t="shared" si="18"/>
        <v>8.5862374953330299E-6</v>
      </c>
      <c r="C218" s="339">
        <f t="shared" si="21"/>
        <v>95.817428746649696</v>
      </c>
      <c r="D218" s="339">
        <f t="shared" si="22"/>
        <v>101.32494011176379</v>
      </c>
      <c r="E218" s="339">
        <f t="shared" si="19"/>
        <v>-6.6489607359420762E-10</v>
      </c>
      <c r="F218" s="339">
        <f t="shared" si="23"/>
        <v>197.14236885774858</v>
      </c>
      <c r="G218" s="323"/>
    </row>
    <row r="219" spans="1:7" s="322" customFormat="1">
      <c r="A219" s="228">
        <f t="shared" si="20"/>
        <v>98938151.438250795</v>
      </c>
      <c r="B219" s="228">
        <f t="shared" si="18"/>
        <v>8.1866562341778186E-6</v>
      </c>
      <c r="C219" s="339">
        <f t="shared" si="21"/>
        <v>95.40350189506745</v>
      </c>
      <c r="D219" s="339">
        <f t="shared" si="22"/>
        <v>106.27049372952858</v>
      </c>
      <c r="E219" s="339">
        <f t="shared" si="19"/>
        <v>-2.1330441396687346E-10</v>
      </c>
      <c r="F219" s="339">
        <f t="shared" si="23"/>
        <v>201.67399562438274</v>
      </c>
      <c r="G219" s="323"/>
    </row>
    <row r="220" spans="1:7" s="322" customFormat="1">
      <c r="A220" s="228">
        <f t="shared" si="20"/>
        <v>108831966.58207588</v>
      </c>
      <c r="B220" s="228">
        <f t="shared" si="18"/>
        <v>7.8056704503027523E-6</v>
      </c>
      <c r="C220" s="339">
        <f t="shared" si="21"/>
        <v>94.989575043485218</v>
      </c>
      <c r="D220" s="339">
        <f t="shared" si="22"/>
        <v>111.4574341229402</v>
      </c>
      <c r="E220" s="339">
        <f t="shared" si="19"/>
        <v>-6.4736267157429968E-11</v>
      </c>
      <c r="F220" s="339">
        <f t="shared" si="23"/>
        <v>206.44700916636066</v>
      </c>
      <c r="G220" s="323"/>
    </row>
    <row r="221" spans="1:7" s="322" customFormat="1">
      <c r="A221" s="228">
        <f t="shared" si="20"/>
        <v>119715163.24028347</v>
      </c>
      <c r="B221" s="228">
        <f t="shared" si="18"/>
        <v>7.4424147583434706E-6</v>
      </c>
      <c r="C221" s="339">
        <f t="shared" si="21"/>
        <v>94.575648191902957</v>
      </c>
      <c r="D221" s="339">
        <f t="shared" si="22"/>
        <v>116.89754310248146</v>
      </c>
      <c r="E221" s="339">
        <f t="shared" si="19"/>
        <v>-1.8536302562107066E-11</v>
      </c>
      <c r="F221" s="339">
        <f t="shared" si="23"/>
        <v>211.4731912943659</v>
      </c>
      <c r="G221" s="323"/>
    </row>
    <row r="222" spans="1:7" s="322" customFormat="1">
      <c r="A222" s="228">
        <f t="shared" si="20"/>
        <v>131686679.56431183</v>
      </c>
      <c r="B222" s="228">
        <f t="shared" si="18"/>
        <v>7.0960640457297736E-6</v>
      </c>
      <c r="C222" s="339">
        <f t="shared" si="21"/>
        <v>94.161721340320696</v>
      </c>
      <c r="D222" s="339">
        <f t="shared" si="22"/>
        <v>122.60317753523425</v>
      </c>
      <c r="E222" s="339">
        <f t="shared" si="19"/>
        <v>-4.9932876218143553E-12</v>
      </c>
      <c r="F222" s="339">
        <f t="shared" si="23"/>
        <v>216.76489887554993</v>
      </c>
      <c r="G222" s="323"/>
    </row>
    <row r="223" spans="1:7" s="322" customFormat="1">
      <c r="A223" s="228">
        <f t="shared" si="20"/>
        <v>144855347.52074301</v>
      </c>
      <c r="B223" s="228">
        <f t="shared" si="18"/>
        <v>6.7658315984940643E-6</v>
      </c>
      <c r="C223" s="339">
        <f t="shared" si="21"/>
        <v>93.74779448873845</v>
      </c>
      <c r="D223" s="339">
        <f t="shared" si="22"/>
        <v>128.58729741272961</v>
      </c>
      <c r="E223" s="339">
        <f t="shared" si="19"/>
        <v>-1.261340326251791E-12</v>
      </c>
      <c r="F223" s="339">
        <f t="shared" si="23"/>
        <v>222.3350919014668</v>
      </c>
      <c r="G223" s="323"/>
    </row>
    <row r="224" spans="1:7" s="322" customFormat="1">
      <c r="A224" s="228">
        <f t="shared" si="20"/>
        <v>159340882.27281731</v>
      </c>
      <c r="B224" s="228">
        <f t="shared" si="18"/>
        <v>6.450967314299795E-6</v>
      </c>
      <c r="C224" s="339">
        <f t="shared" si="21"/>
        <v>93.333867637156203</v>
      </c>
      <c r="D224" s="339">
        <f t="shared" si="22"/>
        <v>134.86349528875766</v>
      </c>
      <c r="E224" s="339">
        <f t="shared" si="19"/>
        <v>-2.9797718716497085E-13</v>
      </c>
      <c r="F224" s="339">
        <f t="shared" si="23"/>
        <v>228.19736292591358</v>
      </c>
      <c r="G224" s="323"/>
    </row>
    <row r="225" spans="1:7" s="322" customFormat="1">
      <c r="A225" s="228">
        <f t="shared" si="20"/>
        <v>175274970.50009906</v>
      </c>
      <c r="B225" s="228">
        <f t="shared" si="18"/>
        <v>6.150755998630967E-6</v>
      </c>
      <c r="C225" s="339">
        <f t="shared" si="21"/>
        <v>92.919940785573957</v>
      </c>
      <c r="D225" s="339">
        <f t="shared" si="22"/>
        <v>141.44602715400256</v>
      </c>
      <c r="E225" s="339">
        <f t="shared" si="19"/>
        <v>-6.5574267725623771E-14</v>
      </c>
      <c r="F225" s="339">
        <f t="shared" si="23"/>
        <v>234.36596793957648</v>
      </c>
      <c r="G225" s="323"/>
    </row>
    <row r="226" spans="1:7" s="322" customFormat="1">
      <c r="A226" s="228">
        <f t="shared" si="20"/>
        <v>192802467.550109</v>
      </c>
      <c r="B226" s="228">
        <f t="shared" si="18"/>
        <v>5.8645157402725399E-6</v>
      </c>
      <c r="C226" s="339">
        <f t="shared" si="21"/>
        <v>92.50601393399171</v>
      </c>
      <c r="D226" s="339">
        <f t="shared" si="22"/>
        <v>148.34984481763345</v>
      </c>
      <c r="E226" s="339">
        <f t="shared" si="19"/>
        <v>-1.350058453174603E-14</v>
      </c>
      <c r="F226" s="339">
        <f t="shared" si="23"/>
        <v>240.85585875162516</v>
      </c>
      <c r="G226" s="323"/>
    </row>
    <row r="227" spans="1:7" s="322" customFormat="1">
      <c r="A227" s="228">
        <f t="shared" si="20"/>
        <v>212082714.3051199</v>
      </c>
      <c r="B227" s="228">
        <f t="shared" si="18"/>
        <v>5.5915963623917884E-6</v>
      </c>
      <c r="C227" s="339">
        <f t="shared" si="21"/>
        <v>92.092087082409449</v>
      </c>
      <c r="D227" s="339">
        <f t="shared" si="22"/>
        <v>155.59062986940282</v>
      </c>
      <c r="E227" s="339">
        <f t="shared" si="19"/>
        <v>-2.892982399659862E-15</v>
      </c>
      <c r="F227" s="339">
        <f t="shared" si="23"/>
        <v>247.68271695181227</v>
      </c>
      <c r="G227" s="323"/>
    </row>
    <row r="228" spans="1:7" s="322" customFormat="1">
      <c r="A228" s="228">
        <f t="shared" si="20"/>
        <v>233290985.73563191</v>
      </c>
      <c r="B228" s="228">
        <f t="shared" si="18"/>
        <v>5.3313779457023092E-6</v>
      </c>
      <c r="C228" s="339">
        <f t="shared" si="21"/>
        <v>91.678160230827203</v>
      </c>
      <c r="D228" s="339">
        <f t="shared" si="22"/>
        <v>163.1848292993968</v>
      </c>
      <c r="E228" s="339">
        <f t="shared" si="19"/>
        <v>0</v>
      </c>
      <c r="F228" s="339">
        <f t="shared" si="23"/>
        <v>254.86298953022401</v>
      </c>
      <c r="G228" s="323"/>
    </row>
    <row r="229" spans="1:7" s="322" customFormat="1">
      <c r="A229" s="228">
        <f t="shared" si="20"/>
        <v>256620084.30919513</v>
      </c>
      <c r="B229" s="228">
        <f t="shared" si="18"/>
        <v>5.0832694203561703E-6</v>
      </c>
      <c r="C229" s="339">
        <f t="shared" si="21"/>
        <v>91.264233379244942</v>
      </c>
      <c r="D229" s="339">
        <f t="shared" si="22"/>
        <v>171.14969285634314</v>
      </c>
      <c r="E229" s="339">
        <f t="shared" si="19"/>
        <v>0</v>
      </c>
      <c r="F229" s="339">
        <f t="shared" si="23"/>
        <v>262.41392623558806</v>
      </c>
      <c r="G229" s="323"/>
    </row>
    <row r="230" spans="1:7" s="322" customFormat="1">
      <c r="A230" s="228">
        <f t="shared" si="20"/>
        <v>282282092.74011469</v>
      </c>
      <c r="B230" s="228">
        <f t="shared" si="18"/>
        <v>4.8467072233657346E-6</v>
      </c>
      <c r="C230" s="339">
        <f t="shared" si="21"/>
        <v>90.850306527662696</v>
      </c>
      <c r="D230" s="339">
        <f t="shared" si="22"/>
        <v>179.5033122293365</v>
      </c>
      <c r="E230" s="339">
        <f t="shared" si="19"/>
        <v>0</v>
      </c>
      <c r="F230" s="339">
        <f t="shared" si="23"/>
        <v>270.3536187569992</v>
      </c>
      <c r="G230" s="323"/>
    </row>
    <row r="231" spans="1:7" s="322" customFormat="1">
      <c r="A231" s="228">
        <f t="shared" si="20"/>
        <v>310510302.01412618</v>
      </c>
      <c r="B231" s="228">
        <f t="shared" si="18"/>
        <v>4.621154018505609E-6</v>
      </c>
      <c r="C231" s="339">
        <f t="shared" si="21"/>
        <v>90.436379676080435</v>
      </c>
      <c r="D231" s="339">
        <f t="shared" si="22"/>
        <v>188.26466214197748</v>
      </c>
      <c r="E231" s="339">
        <f t="shared" si="19"/>
        <v>0</v>
      </c>
      <c r="F231" s="339">
        <f t="shared" si="23"/>
        <v>278.70104181805789</v>
      </c>
      <c r="G231" s="323"/>
    </row>
    <row r="232" spans="1:7" s="322" customFormat="1">
      <c r="A232" s="228">
        <f t="shared" si="20"/>
        <v>341561332.2155388</v>
      </c>
      <c r="B232" s="228">
        <f t="shared" si="18"/>
        <v>4.4060974757870311E-6</v>
      </c>
      <c r="C232" s="339">
        <f t="shared" si="21"/>
        <v>90.022452824498203</v>
      </c>
      <c r="D232" s="339">
        <f t="shared" si="22"/>
        <v>197.45364345227017</v>
      </c>
      <c r="E232" s="339">
        <f t="shared" si="19"/>
        <v>0</v>
      </c>
      <c r="F232" s="339">
        <f t="shared" si="23"/>
        <v>287.47609627676837</v>
      </c>
      <c r="G232" s="323"/>
    </row>
    <row r="233" spans="1:7" s="322" customFormat="1">
      <c r="A233" s="228">
        <f t="shared" si="20"/>
        <v>375717465.43709272</v>
      </c>
      <c r="B233" s="228">
        <f t="shared" si="18"/>
        <v>4.2010491077323714E-6</v>
      </c>
      <c r="C233" s="339">
        <f t="shared" si="21"/>
        <v>89.608525972915942</v>
      </c>
      <c r="D233" s="339">
        <f t="shared" si="22"/>
        <v>207.09112835617523</v>
      </c>
      <c r="E233" s="339">
        <f t="shared" si="19"/>
        <v>0</v>
      </c>
      <c r="F233" s="339">
        <f t="shared" si="23"/>
        <v>296.69965432909117</v>
      </c>
      <c r="G233" s="323"/>
    </row>
    <row r="234" spans="1:7" s="322" customFormat="1">
      <c r="A234" s="228">
        <f t="shared" si="20"/>
        <v>413289211.980802</v>
      </c>
      <c r="B234" s="228">
        <f t="shared" si="18"/>
        <v>4.0055431598063919E-6</v>
      </c>
      <c r="C234" s="339">
        <f t="shared" si="21"/>
        <v>89.194599121333695</v>
      </c>
      <c r="D234" s="339">
        <f t="shared" si="22"/>
        <v>217.19900779749719</v>
      </c>
      <c r="E234" s="339">
        <f t="shared" si="19"/>
        <v>0</v>
      </c>
      <c r="F234" s="339">
        <f t="shared" si="23"/>
        <v>306.39360691883087</v>
      </c>
      <c r="G234" s="323"/>
    </row>
    <row r="235" spans="1:7" s="322" customFormat="1">
      <c r="A235" s="228">
        <f t="shared" si="20"/>
        <v>454618133.17888224</v>
      </c>
      <c r="B235" s="228">
        <f t="shared" si="18"/>
        <v>3.8191355524839732E-6</v>
      </c>
      <c r="C235" s="339">
        <f t="shared" si="21"/>
        <v>88.780672269751449</v>
      </c>
      <c r="D235" s="339">
        <f t="shared" si="22"/>
        <v>227.80024119179282</v>
      </c>
      <c r="E235" s="339">
        <f t="shared" si="19"/>
        <v>0</v>
      </c>
      <c r="F235" s="339">
        <f t="shared" si="23"/>
        <v>316.58091346154424</v>
      </c>
      <c r="G235" s="323"/>
    </row>
    <row r="236" spans="1:7" s="322" customFormat="1">
      <c r="A236" s="228">
        <f t="shared" si="20"/>
        <v>500079946.4967705</v>
      </c>
      <c r="B236" s="228">
        <f t="shared" si="18"/>
        <v>3.6414028725512649E-6</v>
      </c>
      <c r="C236" s="339">
        <f t="shared" si="21"/>
        <v>88.366745418169188</v>
      </c>
      <c r="D236" s="339">
        <f t="shared" si="22"/>
        <v>238.91890857724692</v>
      </c>
      <c r="E236" s="339">
        <f t="shared" si="19"/>
        <v>0</v>
      </c>
      <c r="F236" s="339">
        <f t="shared" si="23"/>
        <v>327.28565399541611</v>
      </c>
      <c r="G236" s="323"/>
    </row>
    <row r="237" spans="1:7" s="322" customFormat="1">
      <c r="A237" s="228">
        <f t="shared" si="20"/>
        <v>550087941.14644754</v>
      </c>
      <c r="B237" s="228">
        <f t="shared" si="18"/>
        <v>3.4719414113490667E-6</v>
      </c>
      <c r="C237" s="339">
        <f t="shared" si="21"/>
        <v>87.952818566586927</v>
      </c>
      <c r="D237" s="339">
        <f t="shared" si="22"/>
        <v>250.58026531097209</v>
      </c>
      <c r="E237" s="339">
        <f t="shared" si="19"/>
        <v>0</v>
      </c>
      <c r="F237" s="339">
        <f t="shared" si="23"/>
        <v>338.53308387755902</v>
      </c>
      <c r="G237" s="323"/>
    </row>
    <row r="238" spans="1:7" s="322" customFormat="1">
      <c r="A238" s="228">
        <f t="shared" si="20"/>
        <v>605096735.26109231</v>
      </c>
      <c r="B238" s="228">
        <f t="shared" si="18"/>
        <v>3.3103662477738774E-6</v>
      </c>
      <c r="C238" s="339">
        <f t="shared" si="21"/>
        <v>87.538891715004695</v>
      </c>
      <c r="D238" s="339">
        <f t="shared" si="22"/>
        <v>262.81079943497161</v>
      </c>
      <c r="E238" s="339">
        <f t="shared" si="19"/>
        <v>0</v>
      </c>
      <c r="F238" s="339">
        <f t="shared" si="23"/>
        <v>350.34969114997631</v>
      </c>
      <c r="G238" s="323"/>
    </row>
    <row r="239" spans="1:7" s="322" customFormat="1">
      <c r="A239" s="228">
        <f t="shared" si="20"/>
        <v>665606408.78720164</v>
      </c>
      <c r="B239" s="228">
        <f t="shared" si="18"/>
        <v>3.1563103739536968E-6</v>
      </c>
      <c r="C239" s="339">
        <f t="shared" si="21"/>
        <v>87.124964863422449</v>
      </c>
      <c r="D239" s="339">
        <f t="shared" si="22"/>
        <v>275.63829184206929</v>
      </c>
      <c r="E239" s="339">
        <f t="shared" si="19"/>
        <v>0</v>
      </c>
      <c r="F239" s="339">
        <f t="shared" si="23"/>
        <v>362.76325670549176</v>
      </c>
      <c r="G239" s="323"/>
    </row>
    <row r="240" spans="1:7" s="322" customFormat="1">
      <c r="A240" s="228">
        <f t="shared" si="20"/>
        <v>732167049.66592181</v>
      </c>
      <c r="B240" s="228">
        <f t="shared" si="18"/>
        <v>3.0094238616126157E-6</v>
      </c>
      <c r="C240" s="339">
        <f t="shared" si="21"/>
        <v>86.711038011840188</v>
      </c>
      <c r="D240" s="339">
        <f t="shared" si="22"/>
        <v>289.09187937846878</v>
      </c>
      <c r="E240" s="339">
        <f t="shared" si="19"/>
        <v>0</v>
      </c>
      <c r="F240" s="339">
        <f t="shared" si="23"/>
        <v>375.80291739030895</v>
      </c>
      <c r="G240" s="323"/>
    </row>
    <row r="241" spans="1:7" s="322" customFormat="1">
      <c r="A241" s="228">
        <f t="shared" si="20"/>
        <v>805383754.632514</v>
      </c>
      <c r="B241" s="228">
        <f t="shared" si="18"/>
        <v>2.8693730672306333E-6</v>
      </c>
      <c r="C241" s="339">
        <f t="shared" si="21"/>
        <v>86.297111160257941</v>
      </c>
      <c r="D241" s="339">
        <f t="shared" si="22"/>
        <v>303.20212102627625</v>
      </c>
      <c r="E241" s="339">
        <f t="shared" si="19"/>
        <v>0</v>
      </c>
      <c r="F241" s="339">
        <f t="shared" si="23"/>
        <v>389.49923218653419</v>
      </c>
      <c r="G241" s="323"/>
    </row>
    <row r="242" spans="1:7" s="322" customFormat="1">
      <c r="A242" s="228">
        <f t="shared" si="20"/>
        <v>885922130.09576547</v>
      </c>
      <c r="B242" s="228">
        <f t="shared" si="18"/>
        <v>2.7358398741932867E-6</v>
      </c>
      <c r="C242" s="339">
        <f t="shared" si="21"/>
        <v>85.883184308675681</v>
      </c>
      <c r="D242" s="339">
        <f t="shared" si="22"/>
        <v>318.0010673163157</v>
      </c>
      <c r="E242" s="339">
        <f t="shared" si="19"/>
        <v>0</v>
      </c>
      <c r="F242" s="339">
        <f t="shared" si="23"/>
        <v>403.88425162499141</v>
      </c>
      <c r="G242" s="323"/>
    </row>
    <row r="243" spans="1:7" s="322" customFormat="1">
      <c r="A243" s="228">
        <f t="shared" si="20"/>
        <v>974514343.10534215</v>
      </c>
      <c r="B243" s="228">
        <f t="shared" ref="B243:B268" si="24">1/SQRT(PI()*A243*$B$21*$B$27*$B$25)</f>
        <v>2.6085209702096666E-6</v>
      </c>
      <c r="C243" s="339">
        <f t="shared" si="21"/>
        <v>85.469257457093434</v>
      </c>
      <c r="D243" s="339">
        <f t="shared" si="22"/>
        <v>333.52233312890388</v>
      </c>
      <c r="E243" s="339">
        <f t="shared" ref="E243:E268" si="25">20*LOG10(1-EXP(-2*($B$26/1000)/B243))</f>
        <v>0</v>
      </c>
      <c r="F243" s="339">
        <f t="shared" si="23"/>
        <v>418.9915905859973</v>
      </c>
      <c r="G243" s="323"/>
    </row>
    <row r="244" spans="1:7" s="322" customFormat="1">
      <c r="A244" s="228">
        <f t="shared" si="20"/>
        <v>1071965777.4158765</v>
      </c>
      <c r="B244" s="228">
        <f t="shared" si="24"/>
        <v>2.4871271583575329E-6</v>
      </c>
      <c r="C244" s="339">
        <f t="shared" si="21"/>
        <v>85.055330605511188</v>
      </c>
      <c r="D244" s="339">
        <f t="shared" si="22"/>
        <v>349.80117404794731</v>
      </c>
      <c r="E244" s="339">
        <f t="shared" si="25"/>
        <v>0</v>
      </c>
      <c r="F244" s="339">
        <f t="shared" si="23"/>
        <v>434.8565046534585</v>
      </c>
      <c r="G244" s="323"/>
    </row>
    <row r="245" spans="1:7" s="322" customFormat="1">
      <c r="A245" s="228">
        <f t="shared" ref="A245:A268" si="26">A244*1.1</f>
        <v>1179162355.1574643</v>
      </c>
      <c r="B245" s="228">
        <f t="shared" si="24"/>
        <v>2.3713827001906055E-6</v>
      </c>
      <c r="C245" s="339">
        <f t="shared" si="21"/>
        <v>84.641403753928941</v>
      </c>
      <c r="D245" s="339">
        <f t="shared" si="22"/>
        <v>366.87456644179434</v>
      </c>
      <c r="E245" s="339">
        <f t="shared" si="25"/>
        <v>0</v>
      </c>
      <c r="F245" s="339">
        <f t="shared" si="23"/>
        <v>451.5159701957233</v>
      </c>
      <c r="G245" s="323"/>
    </row>
    <row r="246" spans="1:7" s="322" customFormat="1">
      <c r="A246" s="228">
        <f t="shared" si="26"/>
        <v>1297078590.6732109</v>
      </c>
      <c r="B246" s="228">
        <f t="shared" si="24"/>
        <v>2.261024689415939E-6</v>
      </c>
      <c r="C246" s="339">
        <f t="shared" si="21"/>
        <v>84.227476902346694</v>
      </c>
      <c r="D246" s="339">
        <f t="shared" si="22"/>
        <v>384.78129145274204</v>
      </c>
      <c r="E246" s="339">
        <f t="shared" si="25"/>
        <v>0</v>
      </c>
      <c r="F246" s="339">
        <f t="shared" si="23"/>
        <v>469.0087683550887</v>
      </c>
      <c r="G246" s="323"/>
    </row>
    <row r="247" spans="1:7" s="322" customFormat="1">
      <c r="A247" s="228">
        <f t="shared" si="26"/>
        <v>1426786449.7405322</v>
      </c>
      <c r="B247" s="228">
        <f t="shared" si="24"/>
        <v>2.155802454718732E-6</v>
      </c>
      <c r="C247" s="339">
        <f t="shared" si="21"/>
        <v>83.813550050764434</v>
      </c>
      <c r="D247" s="339">
        <f t="shared" si="22"/>
        <v>403.56202308597386</v>
      </c>
      <c r="E247" s="339">
        <f t="shared" si="25"/>
        <v>0</v>
      </c>
      <c r="F247" s="339">
        <f t="shared" si="23"/>
        <v>487.3755731367383</v>
      </c>
      <c r="G247" s="323"/>
    </row>
    <row r="248" spans="1:7" s="322" customFormat="1">
      <c r="A248" s="228">
        <f t="shared" si="26"/>
        <v>1569465094.7145855</v>
      </c>
      <c r="B248" s="228">
        <f t="shared" si="24"/>
        <v>2.0554769903781259E-6</v>
      </c>
      <c r="C248" s="339">
        <f t="shared" si="21"/>
        <v>83.399623199182173</v>
      </c>
      <c r="D248" s="339">
        <f t="shared" si="22"/>
        <v>423.25942059801633</v>
      </c>
      <c r="E248" s="339">
        <f t="shared" si="25"/>
        <v>0</v>
      </c>
      <c r="F248" s="339">
        <f t="shared" si="23"/>
        <v>506.65904379719848</v>
      </c>
      <c r="G248" s="323"/>
    </row>
    <row r="249" spans="1:7" s="322" customFormat="1">
      <c r="A249" s="228">
        <f t="shared" si="26"/>
        <v>1726411604.1860442</v>
      </c>
      <c r="B249" s="228">
        <f t="shared" si="24"/>
        <v>1.9598204133806656E-6</v>
      </c>
      <c r="C249" s="339">
        <f t="shared" si="21"/>
        <v>82.985696347599927</v>
      </c>
      <c r="D249" s="339">
        <f t="shared" si="22"/>
        <v>443.91822539457121</v>
      </c>
      <c r="E249" s="339">
        <f t="shared" si="25"/>
        <v>0</v>
      </c>
      <c r="F249" s="339">
        <f t="shared" si="23"/>
        <v>526.90392174217118</v>
      </c>
      <c r="G249" s="323"/>
    </row>
    <row r="250" spans="1:7" s="322" customFormat="1">
      <c r="A250" s="228">
        <f t="shared" si="26"/>
        <v>1899052764.6046488</v>
      </c>
      <c r="B250" s="228">
        <f t="shared" si="24"/>
        <v>1.8686154457982962E-6</v>
      </c>
      <c r="C250" s="339">
        <f t="shared" si="21"/>
        <v>82.571769496017694</v>
      </c>
      <c r="D250" s="339">
        <f t="shared" si="22"/>
        <v>465.585362657818</v>
      </c>
      <c r="E250" s="339">
        <f t="shared" si="25"/>
        <v>0</v>
      </c>
      <c r="F250" s="339">
        <f t="shared" si="23"/>
        <v>548.15713215383573</v>
      </c>
      <c r="G250" s="323"/>
    </row>
    <row r="251" spans="1:7" s="322" customFormat="1">
      <c r="A251" s="228">
        <f t="shared" si="26"/>
        <v>2088958041.0651138</v>
      </c>
      <c r="B251" s="228">
        <f t="shared" si="24"/>
        <v>1.7816549212551503E-6</v>
      </c>
      <c r="C251" s="339">
        <f t="shared" si="21"/>
        <v>82.157842644435433</v>
      </c>
      <c r="D251" s="339">
        <f t="shared" si="22"/>
        <v>488.31004793402838</v>
      </c>
      <c r="E251" s="339">
        <f t="shared" si="25"/>
        <v>0</v>
      </c>
      <c r="F251" s="339">
        <f t="shared" si="23"/>
        <v>570.46789057846377</v>
      </c>
      <c r="G251" s="323"/>
    </row>
    <row r="252" spans="1:7" s="322" customFormat="1">
      <c r="A252" s="228">
        <f t="shared" si="26"/>
        <v>2297853845.1716251</v>
      </c>
      <c r="B252" s="228">
        <f t="shared" si="24"/>
        <v>1.6987413143620876E-6</v>
      </c>
      <c r="C252" s="339">
        <f t="shared" si="21"/>
        <v>81.743915792853187</v>
      </c>
      <c r="D252" s="339">
        <f t="shared" si="22"/>
        <v>512.14389892359975</v>
      </c>
      <c r="E252" s="339">
        <f t="shared" si="25"/>
        <v>0</v>
      </c>
      <c r="F252" s="339">
        <f t="shared" si="23"/>
        <v>593.88781471645291</v>
      </c>
      <c r="G252" s="323"/>
    </row>
    <row r="253" spans="1:7" s="322" customFormat="1">
      <c r="A253" s="228">
        <f t="shared" si="26"/>
        <v>2527639229.6887879</v>
      </c>
      <c r="B253" s="228">
        <f t="shared" si="24"/>
        <v>1.6196862920501365E-6</v>
      </c>
      <c r="C253" s="339">
        <f t="shared" si="21"/>
        <v>81.329988941270926</v>
      </c>
      <c r="D253" s="339">
        <f t="shared" si="22"/>
        <v>537.14105272743132</v>
      </c>
      <c r="E253" s="339">
        <f t="shared" si="25"/>
        <v>0</v>
      </c>
      <c r="F253" s="339">
        <f t="shared" si="23"/>
        <v>618.47104166870224</v>
      </c>
      <c r="G253" s="323"/>
    </row>
    <row r="254" spans="1:7" s="322" customFormat="1">
      <c r="A254" s="228">
        <f t="shared" si="26"/>
        <v>2780403152.6576672</v>
      </c>
      <c r="B254" s="228">
        <f t="shared" si="24"/>
        <v>1.5443102857837157E-6</v>
      </c>
      <c r="C254" s="339">
        <f t="shared" si="21"/>
        <v>80.91606208968868</v>
      </c>
      <c r="D254" s="339">
        <f t="shared" si="22"/>
        <v>563.3582888159599</v>
      </c>
      <c r="E254" s="339">
        <f t="shared" si="25"/>
        <v>0</v>
      </c>
      <c r="F254" s="339">
        <f t="shared" si="23"/>
        <v>644.27435090564859</v>
      </c>
      <c r="G254" s="323"/>
    </row>
    <row r="255" spans="1:7" s="322" customFormat="1">
      <c r="A255" s="228">
        <f t="shared" si="26"/>
        <v>3058443467.9234343</v>
      </c>
      <c r="B255" s="228">
        <f t="shared" si="24"/>
        <v>1.4724420836819422E-6</v>
      </c>
      <c r="C255" s="339">
        <f t="shared" si="21"/>
        <v>80.502135238106419</v>
      </c>
      <c r="D255" s="339">
        <f t="shared" si="22"/>
        <v>590.85515800017447</v>
      </c>
      <c r="E255" s="339">
        <f t="shared" si="25"/>
        <v>0</v>
      </c>
      <c r="F255" s="339">
        <f t="shared" si="23"/>
        <v>671.35729323828093</v>
      </c>
      <c r="G255" s="323"/>
    </row>
    <row r="256" spans="1:7" s="322" customFormat="1">
      <c r="A256" s="228">
        <f t="shared" si="26"/>
        <v>3364287814.7157779</v>
      </c>
      <c r="B256" s="228">
        <f t="shared" si="24"/>
        <v>1.4039184416215594E-6</v>
      </c>
      <c r="C256" s="339">
        <f t="shared" si="21"/>
        <v>80.088208386524187</v>
      </c>
      <c r="D256" s="339">
        <f t="shared" si="22"/>
        <v>619.69411769755595</v>
      </c>
      <c r="E256" s="339">
        <f t="shared" si="25"/>
        <v>0</v>
      </c>
      <c r="F256" s="339">
        <f t="shared" si="23"/>
        <v>699.78232608408018</v>
      </c>
      <c r="G256" s="323"/>
    </row>
    <row r="257" spans="1:13" s="322" customFormat="1">
      <c r="A257" s="228">
        <f t="shared" si="26"/>
        <v>3700716596.187356</v>
      </c>
      <c r="B257" s="228">
        <f t="shared" si="24"/>
        <v>1.338583712438129E-6</v>
      </c>
      <c r="C257" s="339">
        <f t="shared" si="21"/>
        <v>79.674281534941926</v>
      </c>
      <c r="D257" s="339">
        <f t="shared" si="22"/>
        <v>649.94067380019203</v>
      </c>
      <c r="E257" s="339">
        <f t="shared" si="25"/>
        <v>0</v>
      </c>
      <c r="F257" s="339">
        <f t="shared" si="23"/>
        <v>729.61495533513391</v>
      </c>
      <c r="G257" s="323"/>
    </row>
    <row r="258" spans="1:13" s="322" customFormat="1">
      <c r="A258" s="228">
        <f t="shared" si="26"/>
        <v>4070788255.8060918</v>
      </c>
      <c r="B258" s="228">
        <f t="shared" si="24"/>
        <v>1.276289492383236E-6</v>
      </c>
      <c r="C258" s="339">
        <f t="shared" si="21"/>
        <v>79.260354683359679</v>
      </c>
      <c r="D258" s="339">
        <f t="shared" si="22"/>
        <v>681.66352946731149</v>
      </c>
      <c r="E258" s="339">
        <f t="shared" si="25"/>
        <v>0</v>
      </c>
      <c r="F258" s="339">
        <f t="shared" si="23"/>
        <v>760.92388415067114</v>
      </c>
      <c r="G258" s="323"/>
    </row>
    <row r="259" spans="1:13" s="322" customFormat="1">
      <c r="A259" s="228">
        <f t="shared" si="26"/>
        <v>4477867081.3867016</v>
      </c>
      <c r="B259" s="228">
        <f t="shared" si="24"/>
        <v>1.2168942840346629E-6</v>
      </c>
      <c r="C259" s="339">
        <f t="shared" si="21"/>
        <v>78.846427831777419</v>
      </c>
      <c r="D259" s="339">
        <f t="shared" si="22"/>
        <v>714.93474118021106</v>
      </c>
      <c r="E259" s="339">
        <f t="shared" si="25"/>
        <v>0</v>
      </c>
      <c r="F259" s="339">
        <f t="shared" si="23"/>
        <v>793.78116901198848</v>
      </c>
      <c r="G259" s="323"/>
    </row>
    <row r="260" spans="1:13" s="322" customFormat="1">
      <c r="A260" s="228">
        <f t="shared" si="26"/>
        <v>4925653789.5253725</v>
      </c>
      <c r="B260" s="228">
        <f t="shared" si="24"/>
        <v>1.1602631748938507E-6</v>
      </c>
      <c r="C260" s="339">
        <f t="shared" si="21"/>
        <v>78.432500980195172</v>
      </c>
      <c r="D260" s="339">
        <f t="shared" si="22"/>
        <v>749.82988241404269</v>
      </c>
      <c r="E260" s="339">
        <f t="shared" si="25"/>
        <v>0</v>
      </c>
      <c r="F260" s="339">
        <f t="shared" si="23"/>
        <v>828.26238339423787</v>
      </c>
      <c r="G260" s="323"/>
    </row>
    <row r="261" spans="1:13" s="322" customFormat="1">
      <c r="A261" s="228">
        <f t="shared" si="26"/>
        <v>5418219168.47791</v>
      </c>
      <c r="B261" s="228">
        <f t="shared" si="24"/>
        <v>1.1062675309406022E-6</v>
      </c>
      <c r="C261" s="339">
        <f t="shared" si="21"/>
        <v>78.018574128612926</v>
      </c>
      <c r="D261" s="339">
        <f t="shared" si="22"/>
        <v>786.42821529823254</v>
      </c>
      <c r="E261" s="339">
        <f t="shared" si="25"/>
        <v>0</v>
      </c>
      <c r="F261" s="339">
        <f t="shared" si="23"/>
        <v>864.4467894268455</v>
      </c>
      <c r="G261" s="323"/>
    </row>
    <row r="262" spans="1:13" s="322" customFormat="1">
      <c r="A262" s="228">
        <f t="shared" si="26"/>
        <v>5960041085.3257017</v>
      </c>
      <c r="B262" s="228">
        <f t="shared" si="24"/>
        <v>1.054784704448955E-6</v>
      </c>
      <c r="C262" s="339">
        <f t="shared" ref="C262:C268" si="27">20*LOG10(SQRT($B$25/(4*PI()*A262*$B$27*$B$20)))</f>
        <v>77.604647277030679</v>
      </c>
      <c r="D262" s="339">
        <f t="shared" ref="D262:D268" si="28">8.7*$B$26/1000/B262</f>
        <v>824.81287065544711</v>
      </c>
      <c r="E262" s="339">
        <f t="shared" si="25"/>
        <v>0</v>
      </c>
      <c r="F262" s="339">
        <f t="shared" ref="F262:F268" si="29">C262+D262+E262</f>
        <v>902.41751793247784</v>
      </c>
      <c r="G262" s="323"/>
    </row>
    <row r="263" spans="1:13" s="322" customFormat="1">
      <c r="A263" s="228">
        <f t="shared" si="26"/>
        <v>6556045193.8582726</v>
      </c>
      <c r="B263" s="228">
        <f t="shared" si="24"/>
        <v>1.0056977554005474E-6</v>
      </c>
      <c r="C263" s="339">
        <f t="shared" si="27"/>
        <v>77.190720425448418</v>
      </c>
      <c r="D263" s="339">
        <f t="shared" si="28"/>
        <v>865.07103682805575</v>
      </c>
      <c r="E263" s="339">
        <f t="shared" si="25"/>
        <v>0</v>
      </c>
      <c r="F263" s="339">
        <f t="shared" si="29"/>
        <v>942.26175725350413</v>
      </c>
      <c r="G263" s="323"/>
    </row>
    <row r="264" spans="1:13" s="322" customFormat="1">
      <c r="A264" s="228">
        <f t="shared" si="26"/>
        <v>7211649713.2441006</v>
      </c>
      <c r="B264" s="228">
        <f t="shared" si="24"/>
        <v>9.5889518586268616E-7</v>
      </c>
      <c r="C264" s="339">
        <f t="shared" si="27"/>
        <v>76.776793573866172</v>
      </c>
      <c r="D264" s="339">
        <f t="shared" si="28"/>
        <v>907.29415772099208</v>
      </c>
      <c r="E264" s="339">
        <f t="shared" si="25"/>
        <v>0</v>
      </c>
      <c r="F264" s="339">
        <f t="shared" si="29"/>
        <v>984.07095129485822</v>
      </c>
      <c r="G264" s="323"/>
    </row>
    <row r="265" spans="1:13" s="322" customFormat="1">
      <c r="A265" s="228">
        <f t="shared" si="26"/>
        <v>7932814684.568511</v>
      </c>
      <c r="B265" s="228">
        <f t="shared" si="24"/>
        <v>9.1427068672777044E-7</v>
      </c>
      <c r="C265" s="339">
        <f t="shared" si="27"/>
        <v>76.362866722283925</v>
      </c>
      <c r="D265" s="339">
        <f t="shared" si="28"/>
        <v>951.57814051086132</v>
      </c>
      <c r="E265" s="339">
        <f t="shared" si="25"/>
        <v>0</v>
      </c>
      <c r="F265" s="339">
        <f t="shared" si="29"/>
        <v>1027.9410072331452</v>
      </c>
      <c r="G265" s="323"/>
    </row>
    <row r="266" spans="1:13" s="322" customFormat="1">
      <c r="A266" s="228">
        <f t="shared" si="26"/>
        <v>8726096153.025362</v>
      </c>
      <c r="B266" s="228">
        <f t="shared" si="24"/>
        <v>8.7172289623880558E-7</v>
      </c>
      <c r="C266" s="339">
        <f t="shared" si="27"/>
        <v>75.948939870701665</v>
      </c>
      <c r="D266" s="339">
        <f t="shared" si="28"/>
        <v>998.02357349309136</v>
      </c>
      <c r="E266" s="339">
        <f t="shared" si="25"/>
        <v>0</v>
      </c>
      <c r="F266" s="339">
        <f t="shared" si="29"/>
        <v>1073.972513363793</v>
      </c>
      <c r="G266" s="323"/>
    </row>
    <row r="267" spans="1:13" s="322" customFormat="1">
      <c r="A267" s="228">
        <f t="shared" si="26"/>
        <v>9598705768.3278999</v>
      </c>
      <c r="B267" s="228">
        <f t="shared" si="24"/>
        <v>8.3115516975251845E-7</v>
      </c>
      <c r="C267" s="339">
        <f t="shared" si="27"/>
        <v>75.535013019119418</v>
      </c>
      <c r="D267" s="339">
        <f t="shared" si="28"/>
        <v>1046.7359545619477</v>
      </c>
      <c r="E267" s="339">
        <f t="shared" si="25"/>
        <v>0</v>
      </c>
      <c r="F267" s="339">
        <f t="shared" si="29"/>
        <v>1122.270967581067</v>
      </c>
    </row>
    <row r="268" spans="1:13">
      <c r="A268" s="228">
        <f t="shared" si="26"/>
        <v>10558576345.16069</v>
      </c>
      <c r="B268" s="228">
        <f t="shared" si="24"/>
        <v>7.9247536021709604E-7</v>
      </c>
      <c r="C268" s="339">
        <f t="shared" si="27"/>
        <v>75.121086167537172</v>
      </c>
      <c r="D268" s="339">
        <f t="shared" si="28"/>
        <v>1097.8259308424003</v>
      </c>
      <c r="E268" s="339">
        <f t="shared" si="25"/>
        <v>0</v>
      </c>
      <c r="F268" s="339">
        <f t="shared" si="29"/>
        <v>1172.9470170099376</v>
      </c>
    </row>
    <row r="270" spans="1:13" ht="15.75">
      <c r="A270" s="305" t="s">
        <v>632</v>
      </c>
      <c r="B270" s="305"/>
      <c r="C270" s="305"/>
      <c r="D270" s="305"/>
      <c r="E270" s="305"/>
      <c r="F270" s="305"/>
      <c r="G270" s="305"/>
      <c r="H270" s="305"/>
      <c r="I270" s="305"/>
      <c r="J270" s="305"/>
      <c r="K270" s="305"/>
      <c r="L270" s="305"/>
      <c r="M270" s="305"/>
    </row>
    <row r="271" spans="1:13" ht="15.75">
      <c r="A271" s="305" t="s">
        <v>334</v>
      </c>
      <c r="B271" s="305"/>
      <c r="C271" s="305"/>
      <c r="D271" s="305"/>
      <c r="E271" s="305"/>
      <c r="F271" s="305"/>
      <c r="G271" s="305"/>
      <c r="H271" s="305"/>
      <c r="I271" s="305"/>
      <c r="J271" s="305"/>
      <c r="K271" s="305"/>
      <c r="L271" s="305"/>
      <c r="M271" s="305"/>
    </row>
    <row r="272" spans="1:13" ht="15.75">
      <c r="A272" s="305" t="s">
        <v>539</v>
      </c>
      <c r="B272" s="305"/>
      <c r="C272" s="305"/>
      <c r="D272" s="305"/>
      <c r="E272" s="305"/>
      <c r="F272" s="305"/>
      <c r="G272" s="305"/>
      <c r="H272" s="305"/>
      <c r="I272" s="305"/>
      <c r="J272" s="305"/>
      <c r="K272" s="305"/>
      <c r="L272" s="305"/>
      <c r="M272" s="305"/>
    </row>
    <row r="273" spans="1:13" ht="15.75">
      <c r="A273" s="1" t="s">
        <v>555</v>
      </c>
      <c r="B273" s="1"/>
      <c r="C273" s="1"/>
      <c r="D273" s="1"/>
      <c r="E273" s="1"/>
      <c r="F273" s="1"/>
      <c r="G273" s="1"/>
      <c r="H273" s="1"/>
      <c r="I273" s="1"/>
      <c r="J273" s="1"/>
      <c r="K273" s="1"/>
      <c r="L273" s="1"/>
      <c r="M273" s="1"/>
    </row>
    <row r="274" spans="1:13">
      <c r="B274" s="83"/>
      <c r="C274" s="83"/>
      <c r="D274" s="83"/>
      <c r="E274" s="83"/>
      <c r="F274" s="83"/>
      <c r="G274" s="83"/>
      <c r="H274" s="83"/>
      <c r="I274" s="83"/>
      <c r="J274" s="83"/>
      <c r="K274" s="83"/>
      <c r="L274" s="83"/>
      <c r="M274" s="83"/>
    </row>
    <row r="275" spans="1:13" ht="24.6" customHeight="1">
      <c r="A275" s="288" t="s">
        <v>37</v>
      </c>
      <c r="B275" s="288"/>
      <c r="C275" s="288"/>
      <c r="D275" s="288"/>
      <c r="E275" s="288"/>
      <c r="F275" s="288"/>
      <c r="G275" s="288"/>
      <c r="H275" s="288"/>
      <c r="I275" s="288"/>
      <c r="J275" s="288"/>
      <c r="K275" s="288"/>
      <c r="L275" s="288"/>
      <c r="M275" s="288"/>
    </row>
  </sheetData>
  <sheetProtection sheet="1" objects="1" scenarios="1" selectLockedCells="1"/>
  <mergeCells count="8">
    <mergeCell ref="A7:M7"/>
    <mergeCell ref="A275:M275"/>
    <mergeCell ref="A23:M23"/>
    <mergeCell ref="A270:M270"/>
    <mergeCell ref="A271:M271"/>
    <mergeCell ref="A272:M272"/>
    <mergeCell ref="A8:M8"/>
    <mergeCell ref="A10:M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 dB|Cable</vt:lpstr>
      <vt:lpstr> dB|Free-Space</vt:lpstr>
      <vt:lpstr>Near|FarField</vt:lpstr>
      <vt:lpstr>Γ⇄RL⇄VSWR</vt:lpstr>
      <vt:lpstr>Wavelength</vt:lpstr>
      <vt:lpstr>e_r</vt:lpstr>
      <vt:lpstr>e_reff</vt:lpstr>
      <vt:lpstr>SkinEffect</vt:lpstr>
      <vt:lpstr>Shielding</vt:lpstr>
      <vt:lpstr>DMRadiation</vt:lpstr>
      <vt:lpstr>CMRadiation</vt:lpstr>
      <vt:lpstr>Radiation</vt:lpstr>
      <vt:lpstr>Metals</vt:lpstr>
      <vt:lpstr>Plastics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Reto Keller</dc:creator>
  <cp:keywords/>
  <dc:description/>
  <cp:lastModifiedBy>Reto Keller</cp:lastModifiedBy>
  <cp:revision/>
  <cp:lastPrinted>2021-01-15T05:22:22Z</cp:lastPrinted>
  <dcterms:created xsi:type="dcterms:W3CDTF">2020-05-02T14:09:43Z</dcterms:created>
  <dcterms:modified xsi:type="dcterms:W3CDTF">2022-12-30T14:38:40Z</dcterms:modified>
  <cp:category/>
  <cp:contentStatus/>
</cp:coreProperties>
</file>